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2"/>
  </bookViews>
  <sheets>
    <sheet name="Bao cao lai lo" sheetId="1" r:id="rId1"/>
    <sheet name="Bang CDKT" sheetId="2" r:id="rId2"/>
    <sheet name="Luu chuyen tien t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<sst xmlns="http://schemas.openxmlformats.org/spreadsheetml/2006/main" count="247" uniqueCount="221">
  <si>
    <t xml:space="preserve">                      B¸o c¸o kÕt qu¶ ho¹t ®éng kinh doanh gi÷a niªn ®é</t>
  </si>
  <si>
    <t xml:space="preserve">                   QuÝ IV/2007</t>
  </si>
  <si>
    <t>đơn vị: đồng VN</t>
  </si>
  <si>
    <t>ChØ tiªu</t>
  </si>
  <si>
    <t>MS</t>
  </si>
  <si>
    <t>TM</t>
  </si>
  <si>
    <t>Quý IV</t>
  </si>
  <si>
    <t>Luỹ kế từ đầu năm đến cuối quý này</t>
  </si>
  <si>
    <t xml:space="preserve">N¨m 2007 </t>
  </si>
  <si>
    <t>N¨m 2006</t>
  </si>
  <si>
    <t>LK den Q3/2006</t>
  </si>
  <si>
    <t>Năm 2007</t>
  </si>
  <si>
    <t>Luü kÕ ®Õn hÕt Q3/07</t>
  </si>
  <si>
    <t>Luü kÕ ®Õn hÕt Q4/06</t>
  </si>
  <si>
    <t>1. Thu phÝ nhËn TBH</t>
  </si>
  <si>
    <t>02</t>
  </si>
  <si>
    <t>2. C¸c kho¶n gi¶m trõ</t>
  </si>
  <si>
    <t>03</t>
  </si>
  <si>
    <t xml:space="preserve">  - ChuyÓn phÝ nh­îng TBH</t>
  </si>
  <si>
    <t>04</t>
  </si>
  <si>
    <t xml:space="preserve">  - Hoµn phÝ</t>
  </si>
  <si>
    <t>06</t>
  </si>
  <si>
    <t>3. T¨ng (gi¶m) dù phßng phÝ</t>
  </si>
  <si>
    <t>08</t>
  </si>
  <si>
    <t>4. Thu hoa hång nh­îng TBH</t>
  </si>
  <si>
    <t>09</t>
  </si>
  <si>
    <t>5. Thu kh¸c ho¹t ®éng kinh doanh</t>
  </si>
  <si>
    <t>10</t>
  </si>
  <si>
    <t xml:space="preserve"> - Thu kh¸c nhËn TBH</t>
  </si>
  <si>
    <t>11</t>
  </si>
  <si>
    <t xml:space="preserve"> - Thu kh¸c nh­îng TBH</t>
  </si>
  <si>
    <t>12</t>
  </si>
  <si>
    <t>6. Doanh thu thuÇn H§KD BH(02-03-08+09+10)</t>
  </si>
  <si>
    <t>14</t>
  </si>
  <si>
    <t>7. Chi båi th­êng nhËn TBH, tr¶ tiÒn b¶o hiÓm</t>
  </si>
  <si>
    <t>16</t>
  </si>
  <si>
    <t>8. C¸c kho¶n gi¶m trõ( thu båi th­êng TBH)</t>
  </si>
  <si>
    <t>17</t>
  </si>
  <si>
    <t>9. Båi th­êng thuéc phÇn TN gi÷ l¹i(16-17)</t>
  </si>
  <si>
    <t>21</t>
  </si>
  <si>
    <t>10. Chi båi th­êng tõ quü dao ®éng lín</t>
  </si>
  <si>
    <t>22</t>
  </si>
  <si>
    <t>11. T¨ng (gi¶m ) dù phßng båi th­êng</t>
  </si>
  <si>
    <t>23</t>
  </si>
  <si>
    <t>12. Sè trÝch dù phßng D§L trong quý</t>
  </si>
  <si>
    <t>24</t>
  </si>
  <si>
    <t>13. Chi kh¸c ho¹t ®éng KDBH</t>
  </si>
  <si>
    <t>25</t>
  </si>
  <si>
    <t xml:space="preserve">    - Chi kh¸c ho¹t ®éng KD NTBH</t>
  </si>
  <si>
    <t>34</t>
  </si>
  <si>
    <t xml:space="preserve">     + Chi hoa hång NTBH</t>
  </si>
  <si>
    <t>35</t>
  </si>
  <si>
    <t xml:space="preserve">     + Chi kh¸c</t>
  </si>
  <si>
    <t>38</t>
  </si>
  <si>
    <t xml:space="preserve">    - Chi kh¸c ho¹t ®éng Nh­îng TBH</t>
  </si>
  <si>
    <t>39</t>
  </si>
  <si>
    <t>14. Tæng chi trùc tiÕp H§KD BH(21-22+/-23+24+25)</t>
  </si>
  <si>
    <t>41</t>
  </si>
  <si>
    <t>15. Lîi nhuËn gép ho¹t ®éng kinh doanh BH(14-41)</t>
  </si>
  <si>
    <t>42</t>
  </si>
  <si>
    <t>16. T¨ng(+), gi¶m(-) lîi nhuËn do chªnh lÖch tû gi¸</t>
  </si>
  <si>
    <t>43</t>
  </si>
  <si>
    <t>17. Chi phÝ qu¶n lý doanh nghiÖp</t>
  </si>
  <si>
    <t>44</t>
  </si>
  <si>
    <t>18. Lîi nhuËn thuÇn H§KD BH(42+43-44)</t>
  </si>
  <si>
    <t>45</t>
  </si>
  <si>
    <t>19. Doanh thu ho¹t ®éng tµi chÝnh</t>
  </si>
  <si>
    <t>46</t>
  </si>
  <si>
    <t>20. Chi ho¹t ®éng tµi chÝnh</t>
  </si>
  <si>
    <t>47</t>
  </si>
  <si>
    <t>21. Lîi nhuËn ho¹t ®éng tµi chÝnh(46-47)</t>
  </si>
  <si>
    <t>51</t>
  </si>
  <si>
    <t>22. Thu nhËp ho¹t ®éng kh¸c</t>
  </si>
  <si>
    <t>52</t>
  </si>
  <si>
    <t>23. Chi phÝ ho¹t ®éng kh¸c</t>
  </si>
  <si>
    <t>53</t>
  </si>
  <si>
    <t>24. Lîi nhuËn ho¹t ®éng kh¸c(52-53)</t>
  </si>
  <si>
    <t>54</t>
  </si>
  <si>
    <t>25. Tæng lîi nhuËn kÕ to¸n(45+51+54)</t>
  </si>
  <si>
    <t>55</t>
  </si>
  <si>
    <t>26. C¸c kho¶n ®iÒu chØnh t¨ng (+) hoÆc gi¶m LN ®Ó      x¸c ®Þnh lîi nhuËn chÞu thuÕ thuÕ</t>
  </si>
  <si>
    <t>56</t>
  </si>
  <si>
    <t>Trong ®ã: Chi phÝ ®­îc lo¹i trõ khi tÝnh thuÕ TNDN</t>
  </si>
  <si>
    <t>27. Tæng lîi nhuËn tr­íc thuÕ TNDN(55+/-56)</t>
  </si>
  <si>
    <t>57</t>
  </si>
  <si>
    <t>28. Lîi nhuËn chÞu thuÕ TNDN</t>
  </si>
  <si>
    <t>59</t>
  </si>
  <si>
    <t>29. ThuÕ TNDN ph¶i nép</t>
  </si>
  <si>
    <t>60</t>
  </si>
  <si>
    <t>30. ThuÕ TNDN ho·n l¹i ph¶I tr¶</t>
  </si>
  <si>
    <t>31. Lîi nhuËn sau thuÕ TNDN (55-60)</t>
  </si>
  <si>
    <t xml:space="preserve">                                                                                                                                                                        LËp,  ngµy   28    th¸ng  01   n¨m 2008</t>
  </si>
  <si>
    <t xml:space="preserve">                     lËp b¶ng                                                   KÕ to¸n tr­ëng </t>
  </si>
  <si>
    <t>Tæng gi¸m ®èc</t>
  </si>
  <si>
    <t xml:space="preserve">               Tæng gi¸m ®èc</t>
  </si>
  <si>
    <t xml:space="preserve">                      TrÞnh Quang TuyÕn</t>
  </si>
  <si>
    <t xml:space="preserve">                       NguyÔn N¨ng Khoan                                             L­u ThÞ ViÖt Hoa</t>
  </si>
  <si>
    <t xml:space="preserve">             TrÞnh Quang TuyÕn</t>
  </si>
  <si>
    <r>
      <t>TCt Cæ phÇn t¸I b¶o hiÓm quèc gia viÖt nam</t>
    </r>
    <r>
      <rPr>
        <b/>
        <sz val="10"/>
        <rFont val=".VnArialH"/>
        <family val="2"/>
      </rPr>
      <t xml:space="preserve">                                     </t>
    </r>
    <r>
      <rPr>
        <b/>
        <i/>
        <sz val="10"/>
        <rFont val=".VnTime"/>
        <family val="2"/>
      </rPr>
      <t>MÉu CBTT - 03 (Söa ®æi)</t>
    </r>
  </si>
  <si>
    <t>b¸o c¸o tµi chÝnh tãm t¾t qiv/2007</t>
  </si>
  <si>
    <t xml:space="preserve"> </t>
  </si>
  <si>
    <t>Ban hµnh kÌm theo th«ng t­ sè 57/2004/TT - BTC ngµy 17/06/2004 cña Bé tr­ëng BTC h­íng dÉn vÒ viÖc C«ng bè th«ng tin trªn thÞ tr­êng chøng kho¸n</t>
  </si>
  <si>
    <r>
      <t xml:space="preserve"> I. B¶ng c©n ®èi  kÕ to¸n                                                                                                                 </t>
    </r>
    <r>
      <rPr>
        <i/>
        <sz val="9"/>
        <rFont val=".VnArial"/>
        <family val="2"/>
      </rPr>
      <t>§¬n vÞ tÝnh: ®ång</t>
    </r>
  </si>
  <si>
    <t>STT</t>
  </si>
  <si>
    <t>Néi dung</t>
  </si>
  <si>
    <t>Sè d­ cuèi kú</t>
  </si>
  <si>
    <t>Sè d­ ®Çu kú</t>
  </si>
  <si>
    <t>I</t>
  </si>
  <si>
    <t xml:space="preserve"> Tµi s¶n ng¾n h¹n</t>
  </si>
  <si>
    <t xml:space="preserve"> TiÒn và c¸c kho¶n t­¬ng đ­¬ng tiÒn</t>
  </si>
  <si>
    <t xml:space="preserve"> C¸c kho¶n ®Çu t­ tµi chÝnh ng¾n h¹n</t>
  </si>
  <si>
    <t xml:space="preserve"> C¸c kho¶n ph¶i thu </t>
  </si>
  <si>
    <t xml:space="preserve"> Hµng tån kho</t>
  </si>
  <si>
    <t xml:space="preserve"> Tµi s¶n ng¾n h¹n kh¸c</t>
  </si>
  <si>
    <t>II</t>
  </si>
  <si>
    <t xml:space="preserve"> Tµi s¶n dµi h¹n</t>
  </si>
  <si>
    <t xml:space="preserve"> Tµi s¶n cè ®Þnh</t>
  </si>
  <si>
    <t xml:space="preserve">  - Tµi s¶n cè ®Þnh h÷u h×nh</t>
  </si>
  <si>
    <t xml:space="preserve">    Gi¸ trÞ hao mßn luü kÕ TSC§ h÷u h×nh (*)</t>
  </si>
  <si>
    <t xml:space="preserve">  - Tµi s¶n cè ®Þnh v« h×nh</t>
  </si>
  <si>
    <t xml:space="preserve">    Gi¸ trÞ hao mßn luü kÕ  TSC§ v« h×nh(*)</t>
  </si>
  <si>
    <t xml:space="preserve"> C¸c kho¶n ®Çu t­ tµi chÝnh dµu han</t>
  </si>
  <si>
    <t xml:space="preserve"> Chi phÝ x©y dùng c¬ b¶n dë dang</t>
  </si>
  <si>
    <t xml:space="preserve"> C¸c kho¶n kÝ quÜ kÝ cuîc dµi h¹n</t>
  </si>
  <si>
    <t xml:space="preserve"> Chi phÝ tr¶ tr­íc dµi h¹n</t>
  </si>
  <si>
    <t xml:space="preserve"> C¸c chi phÝ kh¸c</t>
  </si>
  <si>
    <t>III</t>
  </si>
  <si>
    <t>Tæng tµi s¶n</t>
  </si>
  <si>
    <t>IV</t>
  </si>
  <si>
    <t xml:space="preserve"> Nî ph¶i tr¶</t>
  </si>
  <si>
    <t xml:space="preserve"> Nî ng¾n h¹n</t>
  </si>
  <si>
    <t xml:space="preserve"> Nî dµi h¹n</t>
  </si>
  <si>
    <t xml:space="preserve"> Nî kh¸c</t>
  </si>
  <si>
    <t>V</t>
  </si>
  <si>
    <t xml:space="preserve"> Vèn chñ së h÷u</t>
  </si>
  <si>
    <t xml:space="preserve"> Nguån vèn vµ quü</t>
  </si>
  <si>
    <t xml:space="preserve">  - Nguån vèn kinh doanh</t>
  </si>
  <si>
    <t xml:space="preserve">  - Cæ phiÕu quÜ</t>
  </si>
  <si>
    <t xml:space="preserve"> - ThÆng d­ vèn</t>
  </si>
  <si>
    <t xml:space="preserve">  - C¸c quÜ</t>
  </si>
  <si>
    <t xml:space="preserve">  - Lîi nhuËn ch­a ph©n phèi</t>
  </si>
  <si>
    <t xml:space="preserve">     Trong ®ã: LN do ®¸nh gi¸ l¹i sè d­ nguyªn tÖ ckú</t>
  </si>
  <si>
    <t xml:space="preserve"> Nguån kinh phÝ </t>
  </si>
  <si>
    <t>VI</t>
  </si>
  <si>
    <t>Tæng nguån vèn</t>
  </si>
  <si>
    <r>
      <t xml:space="preserve"> II. B¸o c¸o kÕt qu¶ ho¹t ®éng s¶n xuÊt kinh doanh                                                         </t>
    </r>
    <r>
      <rPr>
        <i/>
        <sz val="9"/>
        <rFont val=".VnArial"/>
        <family val="2"/>
      </rPr>
      <t>§¬n vÞ : VN§</t>
    </r>
  </si>
  <si>
    <t xml:space="preserve">                                        </t>
  </si>
  <si>
    <t>31/12/2006</t>
  </si>
  <si>
    <t>31/12/2007</t>
  </si>
  <si>
    <t xml:space="preserve"> Tæng doanh thu</t>
  </si>
  <si>
    <t xml:space="preserve">  Doanh thu tõ ho¹t ®éng kinh doanh b¶o hiÓm</t>
  </si>
  <si>
    <t xml:space="preserve">  Doanh thu vÒ ®Çu t­ tµI chÝnh</t>
  </si>
  <si>
    <t xml:space="preserve">  Doanh thu kh¸c</t>
  </si>
  <si>
    <t xml:space="preserve"> Tæng chi phÝ</t>
  </si>
  <si>
    <t xml:space="preserve">  Chi phÝ tõ ho¹t ®éng kinh doanh b¶o hiÓm</t>
  </si>
  <si>
    <t xml:space="preserve">  Chi phÝ qu¶n lý doanh nghiÖp vµ chi ®Çu t­</t>
  </si>
  <si>
    <t xml:space="preserve">  ChÝ phÝ kh¸c</t>
  </si>
  <si>
    <t xml:space="preserve"> Lîi nhuËn tr­íc thuÕ</t>
  </si>
  <si>
    <t xml:space="preserve"> ThuÕ thu nhËp ph¶i nép</t>
  </si>
  <si>
    <t xml:space="preserve"> Lîi nhuËn sau thuÕ</t>
  </si>
  <si>
    <t>Thu nhËp trªn mçi cæ phiÕu</t>
  </si>
  <si>
    <t xml:space="preserve"> Cæ tøc trªn mçi cæ phiÕu</t>
  </si>
  <si>
    <t xml:space="preserve">  </t>
  </si>
  <si>
    <r>
      <t xml:space="preserve">                                                                     </t>
    </r>
    <r>
      <rPr>
        <i/>
        <sz val="11"/>
        <rFont val=".VnTime"/>
        <family val="2"/>
      </rPr>
      <t xml:space="preserve">            LËp, ngµy      th¸ng     n¨m 2008</t>
    </r>
  </si>
  <si>
    <t xml:space="preserve">    Tæng Gi¸m ®èc</t>
  </si>
  <si>
    <t>b¸o c¸o l­u chuyÓn tiÒn tÖ</t>
  </si>
  <si>
    <t>N¨m 2007</t>
  </si>
  <si>
    <t>( Theo ph­¬ng ph¸p trùc tiÕp)</t>
  </si>
  <si>
    <t xml:space="preserve">                                 đơn vị: đồng VN</t>
  </si>
  <si>
    <t>M.Sè</t>
  </si>
  <si>
    <t>T.M</t>
  </si>
  <si>
    <t>2007</t>
  </si>
  <si>
    <t>1</t>
  </si>
  <si>
    <t>I L­u chuyÓn tiÒn tõ ho¹t ®éng kinh doanh</t>
  </si>
  <si>
    <t>1. TiÒn thu tõ kinh doanh nhËn nh­îng TBH</t>
  </si>
  <si>
    <t>01</t>
  </si>
  <si>
    <t>2. TiÒn chi cho ho¹t ®éng kinh doanh nhËn, nh­îng TBH</t>
  </si>
  <si>
    <t>3. TiÒn chi tr¶ cho ng­êi lao ®éng</t>
  </si>
  <si>
    <t>4. TiÒn chi nép c¸c lo¹i thuÕ</t>
  </si>
  <si>
    <t>05</t>
  </si>
  <si>
    <t>5. TiÒn thu kh¸c tõ ho¹t ®éng kinh doanh</t>
  </si>
  <si>
    <t>6. TiÒn chi kh¸c cho ho¹t ®éng kinh doanh</t>
  </si>
  <si>
    <t>07</t>
  </si>
  <si>
    <t>L­u chuyÓn tiÒn thuÇn tõ ho¹t ®éng kinh doanh</t>
  </si>
  <si>
    <t>20</t>
  </si>
  <si>
    <t>II. L­u chuyÓn tiÒn tõ ho¹t ®éng ®Çu t­</t>
  </si>
  <si>
    <t>1. TiÒn chi mua s¾m, XD TSC§ vµ c¸c Ts¶n dµi h¹n kh¸c</t>
  </si>
  <si>
    <t>2. TiÒn thu tõ thanhlý, nh­îng b¸n TSC§&amp;c¸c TS dµi h¹n</t>
  </si>
  <si>
    <t xml:space="preserve">3. TiÒn chi cho vay </t>
  </si>
  <si>
    <t>4.TiÒn thu håi cho vay</t>
  </si>
  <si>
    <t>5.TiÒn chi ®Çu t­  tiÒn göi ng¾n h¹n vµ dµi h¹n, chi kh¸c</t>
  </si>
  <si>
    <t xml:space="preserve">6. TiÒn thu håi ®Çu t­  </t>
  </si>
  <si>
    <t>26</t>
  </si>
  <si>
    <t>7. TiÒn thu l·i tiÒn göi, cho vay,cæ tøc vµ lîi nhuËn ®­îc chia</t>
  </si>
  <si>
    <t>27</t>
  </si>
  <si>
    <t>L­u chuyÓn tiÒn thuÇn tõ ho¹t ®éng ®Çu t­</t>
  </si>
  <si>
    <t>30</t>
  </si>
  <si>
    <t>III. L­u chuyÓn tiÒn tõ ho¹t ®éng tµI chÝnh</t>
  </si>
  <si>
    <t>1. TiÒn thu tõ ph¸t hµnh cæ phiÕu,nhËn vèn gãp cña chñ SH</t>
  </si>
  <si>
    <t>31</t>
  </si>
  <si>
    <t>2. TiÒn tr¶ vèn gãp cho c¸c chñ së h÷u,mua l¹i cæ phiÕu</t>
  </si>
  <si>
    <t>32</t>
  </si>
  <si>
    <t>3. TiÒn vay ng¾n h¹n, dµi h¹n nhËn ®­îc</t>
  </si>
  <si>
    <t>33</t>
  </si>
  <si>
    <t>4. TiÒn chi l·i gãp vèn cæ phÇn, thanh to¸n nhanh</t>
  </si>
  <si>
    <t>5. Cæ tøc, lîi nhuËn ®· tr¶ cho chñ së h÷u</t>
  </si>
  <si>
    <t>36</t>
  </si>
  <si>
    <t>L­u chuyÓn tiÒn thuÇn tõ ho¹t ®éng tµi chÝnh</t>
  </si>
  <si>
    <t>40</t>
  </si>
  <si>
    <t>L­u chuyÓn tiÒn thuÇn trong kú(20+30+40)</t>
  </si>
  <si>
    <t>50</t>
  </si>
  <si>
    <t>TiÒn vµ t­¬ng ®­¬ng tiÒn ®Çu kú</t>
  </si>
  <si>
    <t>¶nh h­ëng cña tû gi¸ hèi ®o¸i qui ®æi ngo¹i tÖ</t>
  </si>
  <si>
    <t>61</t>
  </si>
  <si>
    <t>TiÒn vµ t­¬ng ®­¬ng tiÒn cuèi kú( 50+60+61)</t>
  </si>
  <si>
    <t>70</t>
  </si>
  <si>
    <t>29</t>
  </si>
  <si>
    <t xml:space="preserve">                  Hµ néi,  ngµy    th¸ng     n¨m 2008</t>
  </si>
  <si>
    <t xml:space="preserve">      lËp b¶ng                                      KÕ to¸n tr­ëng</t>
  </si>
  <si>
    <t xml:space="preserve">     NguyÔn N¨ng Khoan                               L­u ThÞ ViÖt Hoa</t>
  </si>
  <si>
    <t xml:space="preserve">                 TrÞnh Quang TuyÕn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</si>
</sst>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\);\(#,###\)"/>
    <numFmt numFmtId="166" formatCode="\(#,##0\);\(#,##0\)"/>
    <numFmt numFmtId="167" formatCode="#,###\);\(#,##0\)"/>
    <numFmt numFmtId="168" formatCode="#,##0;\(#,##0\)"/>
  </numFmts>
  <fonts count="60">
    <font>
      <sz val="10"/>
      <name val="Arial"/>
      <family val="0"/>
    </font>
    <font>
      <sz val="12"/>
      <name val=".VnTime"/>
      <family val="0"/>
    </font>
    <font>
      <sz val="10.5"/>
      <name val=".VnTime"/>
      <family val="0"/>
    </font>
    <font>
      <b/>
      <sz val="12"/>
      <name val=".VnArialH"/>
      <family val="2"/>
    </font>
    <font>
      <b/>
      <sz val="11"/>
      <name val=".VnArial"/>
      <family val="2"/>
    </font>
    <font>
      <i/>
      <sz val="10"/>
      <name val=".VnTime"/>
      <family val="2"/>
    </font>
    <font>
      <i/>
      <sz val="10.5"/>
      <name val=".VnArial"/>
      <family val="2"/>
    </font>
    <font>
      <b/>
      <sz val="10.5"/>
      <name val=".VnArial"/>
      <family val="2"/>
    </font>
    <font>
      <b/>
      <sz val="10"/>
      <name val=".VnArial"/>
      <family val="2"/>
    </font>
    <font>
      <b/>
      <sz val="12"/>
      <name val=".VnTime"/>
      <family val="0"/>
    </font>
    <font>
      <sz val="10.5"/>
      <name val=".VnArial"/>
      <family val="2"/>
    </font>
    <font>
      <b/>
      <sz val="10.5"/>
      <name val=".VnTime"/>
      <family val="2"/>
    </font>
    <font>
      <i/>
      <sz val="10.5"/>
      <name val=".VnTime"/>
      <family val="2"/>
    </font>
    <font>
      <sz val="12"/>
      <color indexed="12"/>
      <name val=".VnTime"/>
      <family val="0"/>
    </font>
    <font>
      <b/>
      <sz val="12"/>
      <color indexed="12"/>
      <name val=".VnTime"/>
      <family val="0"/>
    </font>
    <font>
      <b/>
      <sz val="10.5"/>
      <color indexed="12"/>
      <name val=".VnArial"/>
      <family val="2"/>
    </font>
    <font>
      <sz val="10.5"/>
      <color indexed="12"/>
      <name val=".VnArial"/>
      <family val="2"/>
    </font>
    <font>
      <sz val="10.5"/>
      <color indexed="12"/>
      <name val=".VnTime"/>
      <family val="0"/>
    </font>
    <font>
      <i/>
      <sz val="12"/>
      <name val=".VnTime"/>
      <family val="2"/>
    </font>
    <font>
      <b/>
      <sz val="11"/>
      <name val=".VnArialH"/>
      <family val="2"/>
    </font>
    <font>
      <sz val="12"/>
      <name val=".VnArial"/>
      <family val="2"/>
    </font>
    <font>
      <sz val="11.5"/>
      <name val=".VnTime"/>
      <family val="0"/>
    </font>
    <font>
      <sz val="11.5"/>
      <name val=".VnArial"/>
      <family val="2"/>
    </font>
    <font>
      <b/>
      <sz val="11.5"/>
      <name val=".VnTime"/>
      <family val="2"/>
    </font>
    <font>
      <sz val="8"/>
      <name val="Arial"/>
      <family val="0"/>
    </font>
    <font>
      <sz val="10"/>
      <name val=".VnArialH"/>
      <family val="2"/>
    </font>
    <font>
      <sz val="10"/>
      <name val=".VnTime"/>
      <family val="0"/>
    </font>
    <font>
      <b/>
      <sz val="10"/>
      <name val=".VnArialH"/>
      <family val="2"/>
    </font>
    <font>
      <b/>
      <i/>
      <sz val="10"/>
      <name val=".VnTime"/>
      <family val="2"/>
    </font>
    <font>
      <b/>
      <sz val="11.5"/>
      <name val=".VnArialH"/>
      <family val="2"/>
    </font>
    <font>
      <i/>
      <sz val="10"/>
      <name val=".VnArial"/>
      <family val="2"/>
    </font>
    <font>
      <sz val="9"/>
      <name val=".VnArialH"/>
      <family val="2"/>
    </font>
    <font>
      <i/>
      <sz val="9"/>
      <name val=".VnArial"/>
      <family val="2"/>
    </font>
    <font>
      <b/>
      <sz val="9"/>
      <name val=".VnTime"/>
      <family val="2"/>
    </font>
    <font>
      <b/>
      <sz val="9"/>
      <name val=".VnArialH"/>
      <family val="2"/>
    </font>
    <font>
      <b/>
      <sz val="10"/>
      <name val=".VnTime"/>
      <family val="2"/>
    </font>
    <font>
      <b/>
      <sz val="10.5"/>
      <color indexed="12"/>
      <name val=".VnTime"/>
      <family val="2"/>
    </font>
    <font>
      <b/>
      <sz val="10"/>
      <color indexed="12"/>
      <name val=".VnTime"/>
      <family val="2"/>
    </font>
    <font>
      <sz val="13"/>
      <name val=".VnTime"/>
      <family val="0"/>
    </font>
    <font>
      <sz val="10"/>
      <name val=".VnTimeH"/>
      <family val="2"/>
    </font>
    <font>
      <b/>
      <sz val="9"/>
      <color indexed="12"/>
      <name val=".VnTime"/>
      <family val="2"/>
    </font>
    <font>
      <b/>
      <sz val="10.5"/>
      <color indexed="12"/>
      <name val=".VnTimeH"/>
      <family val="2"/>
    </font>
    <font>
      <sz val="10.5"/>
      <name val=".VnTimeH"/>
      <family val="2"/>
    </font>
    <font>
      <b/>
      <sz val="11"/>
      <name val=".VnTimeH"/>
      <family val="2"/>
    </font>
    <font>
      <i/>
      <sz val="9"/>
      <name val=".VnTime"/>
      <family val="2"/>
    </font>
    <font>
      <b/>
      <sz val="9"/>
      <name val=".VnTimeH"/>
      <family val="2"/>
    </font>
    <font>
      <i/>
      <sz val="13"/>
      <name val=".VnTime"/>
      <family val="2"/>
    </font>
    <font>
      <i/>
      <sz val="11"/>
      <name val=".VnTime"/>
      <family val="2"/>
    </font>
    <font>
      <b/>
      <sz val="13"/>
      <name val=".VnArialH"/>
      <family val="2"/>
    </font>
    <font>
      <b/>
      <sz val="11"/>
      <name val=".VnTime"/>
      <family val="2"/>
    </font>
    <font>
      <b/>
      <i/>
      <sz val="12"/>
      <name val=".VnTime"/>
      <family val="2"/>
    </font>
    <font>
      <b/>
      <i/>
      <sz val="13"/>
      <name val=".VnTime"/>
      <family val="2"/>
    </font>
    <font>
      <b/>
      <sz val="10"/>
      <name val=".VnTimeH"/>
      <family val="2"/>
    </font>
    <font>
      <sz val="11"/>
      <name val=".VnTime"/>
      <family val="2"/>
    </font>
    <font>
      <b/>
      <i/>
      <sz val="11"/>
      <color indexed="10"/>
      <name val=".VnTime"/>
      <family val="2"/>
    </font>
    <font>
      <b/>
      <sz val="11"/>
      <color indexed="10"/>
      <name val=".VnTime"/>
      <family val="2"/>
    </font>
    <font>
      <sz val="11"/>
      <color indexed="10"/>
      <name val=".VnTime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0"/>
    </font>
    <font>
      <sz val="12"/>
      <name val=".VnArial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1" fontId="1" fillId="0" borderId="0" xfId="16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41" fontId="3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5" fillId="0" borderId="0" xfId="16" applyFont="1" applyBorder="1" applyAlignment="1">
      <alignment horizontal="center"/>
    </xf>
    <xf numFmtId="164" fontId="6" fillId="0" borderId="0" xfId="15" applyNumberFormat="1" applyFont="1" applyAlignment="1">
      <alignment/>
    </xf>
    <xf numFmtId="41" fontId="7" fillId="0" borderId="1" xfId="16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7" fillId="0" borderId="5" xfId="16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0" xfId="15" applyNumberFormat="1" applyFont="1" applyAlignment="1">
      <alignment/>
    </xf>
    <xf numFmtId="41" fontId="7" fillId="0" borderId="7" xfId="16" applyFont="1" applyBorder="1" applyAlignment="1">
      <alignment/>
    </xf>
    <xf numFmtId="41" fontId="7" fillId="0" borderId="7" xfId="16" applyFont="1" applyBorder="1" applyAlignment="1" quotePrefix="1">
      <alignment horizontal="center"/>
    </xf>
    <xf numFmtId="164" fontId="7" fillId="0" borderId="7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41" fontId="7" fillId="0" borderId="8" xfId="16" applyFont="1" applyBorder="1" applyAlignment="1">
      <alignment/>
    </xf>
    <xf numFmtId="41" fontId="10" fillId="0" borderId="8" xfId="16" applyFont="1" applyBorder="1" applyAlignment="1" quotePrefix="1">
      <alignment horizontal="center"/>
    </xf>
    <xf numFmtId="41" fontId="7" fillId="0" borderId="8" xfId="16" applyFont="1" applyBorder="1" applyAlignment="1" quotePrefix="1">
      <alignment horizontal="center"/>
    </xf>
    <xf numFmtId="164" fontId="7" fillId="0" borderId="8" xfId="15" applyNumberFormat="1" applyFont="1" applyBorder="1" applyAlignment="1">
      <alignment/>
    </xf>
    <xf numFmtId="41" fontId="2" fillId="0" borderId="8" xfId="16" applyFont="1" applyBorder="1" applyAlignment="1">
      <alignment/>
    </xf>
    <xf numFmtId="41" fontId="2" fillId="0" borderId="8" xfId="16" applyFont="1" applyBorder="1" applyAlignment="1" quotePrefix="1">
      <alignment horizontal="center"/>
    </xf>
    <xf numFmtId="164" fontId="2" fillId="0" borderId="8" xfId="15" applyNumberFormat="1" applyFont="1" applyBorder="1" applyAlignment="1">
      <alignment/>
    </xf>
    <xf numFmtId="164" fontId="10" fillId="0" borderId="8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11" fillId="0" borderId="8" xfId="15" applyNumberFormat="1" applyFont="1" applyBorder="1" applyAlignment="1">
      <alignment/>
    </xf>
    <xf numFmtId="41" fontId="12" fillId="0" borderId="8" xfId="16" applyFont="1" applyBorder="1" applyAlignment="1" quotePrefix="1">
      <alignment/>
    </xf>
    <xf numFmtId="41" fontId="7" fillId="0" borderId="8" xfId="16" applyFont="1" applyBorder="1" applyAlignment="1">
      <alignment wrapText="1"/>
    </xf>
    <xf numFmtId="164" fontId="13" fillId="0" borderId="0" xfId="15" applyNumberFormat="1" applyFont="1" applyAlignment="1">
      <alignment/>
    </xf>
    <xf numFmtId="164" fontId="14" fillId="0" borderId="0" xfId="15" applyNumberFormat="1" applyFont="1" applyAlignment="1">
      <alignment/>
    </xf>
    <xf numFmtId="41" fontId="7" fillId="0" borderId="8" xfId="16" applyFont="1" applyBorder="1" applyAlignment="1">
      <alignment horizontal="left" vertical="center" wrapText="1"/>
    </xf>
    <xf numFmtId="41" fontId="6" fillId="0" borderId="8" xfId="16" applyFont="1" applyBorder="1" applyAlignment="1">
      <alignment horizontal="center" vertical="center" wrapText="1"/>
    </xf>
    <xf numFmtId="41" fontId="6" fillId="0" borderId="8" xfId="16" applyFont="1" applyBorder="1" applyAlignment="1" quotePrefix="1">
      <alignment horizontal="center"/>
    </xf>
    <xf numFmtId="41" fontId="6" fillId="0" borderId="8" xfId="16" applyFont="1" applyBorder="1" applyAlignment="1">
      <alignment/>
    </xf>
    <xf numFmtId="164" fontId="15" fillId="0" borderId="8" xfId="15" applyNumberFormat="1" applyFont="1" applyBorder="1" applyAlignment="1">
      <alignment/>
    </xf>
    <xf numFmtId="41" fontId="16" fillId="0" borderId="8" xfId="16" applyFont="1" applyBorder="1" applyAlignment="1" quotePrefix="1">
      <alignment horizontal="center"/>
    </xf>
    <xf numFmtId="164" fontId="17" fillId="0" borderId="8" xfId="15" applyNumberFormat="1" applyFont="1" applyBorder="1" applyAlignment="1">
      <alignment/>
    </xf>
    <xf numFmtId="164" fontId="16" fillId="0" borderId="8" xfId="15" applyNumberFormat="1" applyFont="1" applyBorder="1" applyAlignment="1">
      <alignment/>
    </xf>
    <xf numFmtId="41" fontId="2" fillId="0" borderId="9" xfId="16" applyFont="1" applyBorder="1" applyAlignment="1" quotePrefix="1">
      <alignment horizontal="center"/>
    </xf>
    <xf numFmtId="41" fontId="16" fillId="0" borderId="9" xfId="16" applyFont="1" applyBorder="1" applyAlignment="1" quotePrefix="1">
      <alignment horizontal="center"/>
    </xf>
    <xf numFmtId="164" fontId="17" fillId="0" borderId="9" xfId="15" applyNumberFormat="1" applyFont="1" applyBorder="1" applyAlignment="1">
      <alignment/>
    </xf>
    <xf numFmtId="164" fontId="16" fillId="0" borderId="9" xfId="15" applyNumberFormat="1" applyFont="1" applyBorder="1" applyAlignment="1">
      <alignment/>
    </xf>
    <xf numFmtId="41" fontId="7" fillId="0" borderId="6" xfId="16" applyFont="1" applyBorder="1" applyAlignment="1">
      <alignment/>
    </xf>
    <xf numFmtId="41" fontId="10" fillId="0" borderId="6" xfId="16" applyFont="1" applyBorder="1" applyAlignment="1" quotePrefix="1">
      <alignment horizontal="center"/>
    </xf>
    <xf numFmtId="41" fontId="7" fillId="0" borderId="6" xfId="16" applyFont="1" applyBorder="1" applyAlignment="1" quotePrefix="1">
      <alignment horizontal="center"/>
    </xf>
    <xf numFmtId="164" fontId="7" fillId="0" borderId="2" xfId="15" applyNumberFormat="1" applyFont="1" applyBorder="1" applyAlignment="1">
      <alignment/>
    </xf>
    <xf numFmtId="164" fontId="15" fillId="0" borderId="6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43" fontId="18" fillId="0" borderId="0" xfId="15" applyFont="1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43" fontId="3" fillId="0" borderId="0" xfId="15" applyFont="1" applyAlignment="1">
      <alignment/>
    </xf>
    <xf numFmtId="9" fontId="19" fillId="0" borderId="0" xfId="21" applyFont="1" applyAlignment="1">
      <alignment/>
    </xf>
    <xf numFmtId="43" fontId="19" fillId="0" borderId="0" xfId="15" applyFont="1" applyAlignment="1">
      <alignment/>
    </xf>
    <xf numFmtId="43" fontId="20" fillId="0" borderId="0" xfId="15" applyFont="1" applyAlignment="1">
      <alignment/>
    </xf>
    <xf numFmtId="164" fontId="20" fillId="0" borderId="0" xfId="15" applyNumberFormat="1" applyFont="1" applyAlignment="1">
      <alignment/>
    </xf>
    <xf numFmtId="0" fontId="21" fillId="0" borderId="0" xfId="0" applyFont="1" applyAlignment="1">
      <alignment/>
    </xf>
    <xf numFmtId="43" fontId="22" fillId="0" borderId="0" xfId="15" applyFont="1" applyAlignment="1">
      <alignment/>
    </xf>
    <xf numFmtId="0" fontId="9" fillId="0" borderId="0" xfId="0" applyFont="1" applyAlignment="1">
      <alignment/>
    </xf>
    <xf numFmtId="9" fontId="23" fillId="0" borderId="0" xfId="21" applyFont="1" applyAlignment="1">
      <alignment/>
    </xf>
    <xf numFmtId="0" fontId="23" fillId="0" borderId="0" xfId="0" applyFont="1" applyAlignment="1">
      <alignment/>
    </xf>
    <xf numFmtId="43" fontId="9" fillId="0" borderId="0" xfId="15" applyFont="1" applyAlignment="1">
      <alignment/>
    </xf>
    <xf numFmtId="0" fontId="25" fillId="0" borderId="0" xfId="19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2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9" fillId="0" borderId="0" xfId="2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1" fillId="0" borderId="0" xfId="20" applyFont="1" applyAlignment="1">
      <alignment horizontal="left"/>
      <protection/>
    </xf>
    <xf numFmtId="0" fontId="31" fillId="0" borderId="0" xfId="0" applyFont="1" applyAlignment="1">
      <alignment horizontal="left"/>
    </xf>
    <xf numFmtId="0" fontId="5" fillId="0" borderId="0" xfId="20" applyFont="1" applyBorder="1" applyAlignment="1">
      <alignment horizontal="center" wrapText="1"/>
      <protection/>
    </xf>
    <xf numFmtId="0" fontId="9" fillId="0" borderId="0" xfId="20" applyFont="1" applyBorder="1" applyAlignment="1">
      <alignment horizontal="center" wrapText="1"/>
      <protection/>
    </xf>
    <xf numFmtId="0" fontId="33" fillId="2" borderId="6" xfId="0" applyFont="1" applyFill="1" applyBorder="1" applyAlignment="1">
      <alignment horizontal="center"/>
    </xf>
    <xf numFmtId="0" fontId="34" fillId="2" borderId="6" xfId="20" applyFont="1" applyFill="1" applyBorder="1" applyAlignment="1">
      <alignment horizontal="center" wrapText="1"/>
      <protection/>
    </xf>
    <xf numFmtId="14" fontId="35" fillId="2" borderId="6" xfId="20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6" fillId="0" borderId="1" xfId="0" applyFont="1" applyBorder="1" applyAlignment="1">
      <alignment horizontal="center"/>
    </xf>
    <xf numFmtId="0" fontId="37" fillId="0" borderId="1" xfId="20" applyFont="1" applyBorder="1" applyAlignment="1">
      <alignment horizontal="left" wrapText="1"/>
      <protection/>
    </xf>
    <xf numFmtId="3" fontId="36" fillId="0" borderId="1" xfId="20" applyNumberFormat="1" applyFont="1" applyBorder="1">
      <alignment/>
      <protection/>
    </xf>
    <xf numFmtId="0" fontId="38" fillId="0" borderId="0" xfId="0" applyFont="1" applyBorder="1" applyAlignment="1">
      <alignment/>
    </xf>
    <xf numFmtId="0" fontId="26" fillId="0" borderId="8" xfId="0" applyFont="1" applyBorder="1" applyAlignment="1">
      <alignment horizontal="center"/>
    </xf>
    <xf numFmtId="0" fontId="26" fillId="0" borderId="8" xfId="20" applyFont="1" applyBorder="1" applyAlignment="1">
      <alignment wrapText="1"/>
      <protection/>
    </xf>
    <xf numFmtId="3" fontId="2" fillId="0" borderId="8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0" fontId="36" fillId="0" borderId="8" xfId="0" applyFont="1" applyBorder="1" applyAlignment="1">
      <alignment horizontal="center"/>
    </xf>
    <xf numFmtId="0" fontId="36" fillId="0" borderId="8" xfId="20" applyFont="1" applyBorder="1" applyAlignment="1">
      <alignment horizontal="left" wrapText="1"/>
      <protection/>
    </xf>
    <xf numFmtId="3" fontId="36" fillId="0" borderId="8" xfId="20" applyNumberFormat="1" applyFont="1" applyBorder="1">
      <alignment/>
      <protection/>
    </xf>
    <xf numFmtId="0" fontId="26" fillId="0" borderId="8" xfId="20" applyFont="1" applyBorder="1" applyAlignment="1">
      <alignment wrapText="1"/>
      <protection/>
    </xf>
    <xf numFmtId="3" fontId="26" fillId="0" borderId="8" xfId="20" applyNumberFormat="1" applyFont="1" applyBorder="1">
      <alignment/>
      <protection/>
    </xf>
    <xf numFmtId="0" fontId="5" fillId="0" borderId="8" xfId="20" applyFont="1" applyBorder="1" applyAlignment="1">
      <alignment wrapText="1"/>
      <protection/>
    </xf>
    <xf numFmtId="165" fontId="2" fillId="0" borderId="8" xfId="20" applyNumberFormat="1" applyFont="1" applyBorder="1">
      <alignment/>
      <protection/>
    </xf>
    <xf numFmtId="166" fontId="39" fillId="0" borderId="8" xfId="20" applyNumberFormat="1" applyFont="1" applyBorder="1">
      <alignment/>
      <protection/>
    </xf>
    <xf numFmtId="167" fontId="2" fillId="0" borderId="8" xfId="20" applyNumberFormat="1" applyFont="1" applyBorder="1">
      <alignment/>
      <protection/>
    </xf>
    <xf numFmtId="165" fontId="26" fillId="0" borderId="8" xfId="20" applyNumberFormat="1" applyFont="1" applyBorder="1">
      <alignment/>
      <protection/>
    </xf>
    <xf numFmtId="0" fontId="35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20" applyFont="1" applyBorder="1" applyAlignment="1">
      <alignment wrapText="1"/>
      <protection/>
    </xf>
    <xf numFmtId="3" fontId="26" fillId="0" borderId="11" xfId="20" applyNumberFormat="1" applyFont="1" applyBorder="1">
      <alignment/>
      <protection/>
    </xf>
    <xf numFmtId="0" fontId="35" fillId="2" borderId="6" xfId="0" applyFont="1" applyFill="1" applyBorder="1" applyAlignment="1">
      <alignment horizontal="center"/>
    </xf>
    <xf numFmtId="3" fontId="35" fillId="2" borderId="6" xfId="20" applyNumberFormat="1" applyFont="1" applyFill="1" applyBorder="1">
      <alignment/>
      <protection/>
    </xf>
    <xf numFmtId="3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37" fillId="0" borderId="12" xfId="20" applyFont="1" applyBorder="1" applyAlignment="1">
      <alignment horizontal="left" wrapText="1"/>
      <protection/>
    </xf>
    <xf numFmtId="3" fontId="41" fillId="0" borderId="12" xfId="20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42" fillId="0" borderId="8" xfId="20" applyNumberFormat="1" applyFont="1" applyBorder="1">
      <alignment/>
      <protection/>
    </xf>
    <xf numFmtId="3" fontId="39" fillId="0" borderId="8" xfId="20" applyNumberFormat="1" applyFont="1" applyBorder="1">
      <alignment/>
      <protection/>
    </xf>
    <xf numFmtId="164" fontId="2" fillId="0" borderId="8" xfId="15" applyNumberFormat="1" applyFont="1" applyBorder="1" applyAlignment="1">
      <alignment/>
    </xf>
    <xf numFmtId="164" fontId="26" fillId="0" borderId="8" xfId="0" applyNumberFormat="1" applyFont="1" applyBorder="1" applyAlignment="1">
      <alignment/>
    </xf>
    <xf numFmtId="164" fontId="26" fillId="0" borderId="8" xfId="15" applyNumberFormat="1" applyFont="1" applyBorder="1" applyAlignment="1">
      <alignment/>
    </xf>
    <xf numFmtId="3" fontId="26" fillId="0" borderId="8" xfId="20" applyNumberFormat="1" applyFont="1" applyBorder="1">
      <alignment/>
      <protection/>
    </xf>
    <xf numFmtId="0" fontId="26" fillId="0" borderId="8" xfId="20" applyFont="1" applyBorder="1" applyAlignment="1" quotePrefix="1">
      <alignment wrapText="1"/>
      <protection/>
    </xf>
    <xf numFmtId="0" fontId="26" fillId="0" borderId="11" xfId="20" applyFont="1" applyBorder="1" applyAlignment="1">
      <alignment wrapText="1"/>
      <protection/>
    </xf>
    <xf numFmtId="3" fontId="26" fillId="0" borderId="11" xfId="20" applyNumberFormat="1" applyFont="1" applyBorder="1">
      <alignment/>
      <protection/>
    </xf>
    <xf numFmtId="0" fontId="5" fillId="0" borderId="11" xfId="20" applyFont="1" applyBorder="1" applyAlignment="1">
      <alignment wrapText="1"/>
      <protection/>
    </xf>
    <xf numFmtId="3" fontId="2" fillId="0" borderId="11" xfId="20" applyNumberFormat="1" applyFont="1" applyBorder="1">
      <alignment/>
      <protection/>
    </xf>
    <xf numFmtId="3" fontId="2" fillId="0" borderId="11" xfId="20" applyNumberFormat="1" applyFont="1" applyBorder="1">
      <alignment/>
      <protection/>
    </xf>
    <xf numFmtId="3" fontId="35" fillId="0" borderId="11" xfId="20" applyNumberFormat="1" applyFont="1" applyBorder="1">
      <alignment/>
      <protection/>
    </xf>
    <xf numFmtId="0" fontId="35" fillId="0" borderId="6" xfId="0" applyFont="1" applyBorder="1" applyAlignment="1">
      <alignment horizontal="center"/>
    </xf>
    <xf numFmtId="0" fontId="34" fillId="0" borderId="6" xfId="20" applyFont="1" applyBorder="1" applyAlignment="1">
      <alignment horizontal="center" wrapText="1"/>
      <protection/>
    </xf>
    <xf numFmtId="3" fontId="35" fillId="0" borderId="6" xfId="20" applyNumberFormat="1" applyFont="1" applyBorder="1">
      <alignment/>
      <protection/>
    </xf>
    <xf numFmtId="0" fontId="9" fillId="0" borderId="0" xfId="0" applyFont="1" applyBorder="1" applyAlignment="1">
      <alignment horizontal="center"/>
    </xf>
    <xf numFmtId="0" fontId="43" fillId="0" borderId="0" xfId="20" applyFont="1" applyBorder="1" applyAlignment="1">
      <alignment horizontal="center" wrapText="1"/>
      <protection/>
    </xf>
    <xf numFmtId="3" fontId="9" fillId="0" borderId="0" xfId="20" applyNumberFormat="1" applyFont="1" applyBorder="1">
      <alignment/>
      <protection/>
    </xf>
    <xf numFmtId="0" fontId="44" fillId="0" borderId="13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14" fontId="33" fillId="0" borderId="6" xfId="0" applyNumberFormat="1" applyFont="1" applyBorder="1" applyAlignment="1" quotePrefix="1">
      <alignment horizontal="center"/>
    </xf>
    <xf numFmtId="0" fontId="26" fillId="0" borderId="12" xfId="0" applyFont="1" applyBorder="1" applyAlignment="1">
      <alignment horizontal="center"/>
    </xf>
    <xf numFmtId="0" fontId="35" fillId="2" borderId="12" xfId="0" applyFont="1" applyFill="1" applyBorder="1" applyAlignment="1">
      <alignment/>
    </xf>
    <xf numFmtId="3" fontId="35" fillId="2" borderId="12" xfId="0" applyNumberFormat="1" applyFont="1" applyFill="1" applyBorder="1" applyAlignment="1">
      <alignment/>
    </xf>
    <xf numFmtId="0" fontId="26" fillId="0" borderId="8" xfId="0" applyFont="1" applyBorder="1" applyAlignment="1">
      <alignment/>
    </xf>
    <xf numFmtId="3" fontId="26" fillId="0" borderId="8" xfId="0" applyNumberFormat="1" applyFont="1" applyBorder="1" applyAlignment="1">
      <alignment/>
    </xf>
    <xf numFmtId="0" fontId="35" fillId="0" borderId="8" xfId="0" applyFont="1" applyBorder="1" applyAlignment="1">
      <alignment/>
    </xf>
    <xf numFmtId="3" fontId="35" fillId="0" borderId="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" fontId="35" fillId="0" borderId="11" xfId="0" applyNumberFormat="1" applyFont="1" applyBorder="1" applyAlignment="1">
      <alignment/>
    </xf>
    <xf numFmtId="0" fontId="26" fillId="0" borderId="9" xfId="0" applyFont="1" applyBorder="1" applyAlignment="1">
      <alignment horizontal="center"/>
    </xf>
    <xf numFmtId="0" fontId="35" fillId="0" borderId="9" xfId="0" applyFont="1" applyBorder="1" applyAlignment="1">
      <alignment/>
    </xf>
    <xf numFmtId="3" fontId="35" fillId="0" borderId="9" xfId="0" applyNumberFormat="1" applyFont="1" applyBorder="1" applyAlignment="1">
      <alignment/>
    </xf>
    <xf numFmtId="0" fontId="46" fillId="0" borderId="0" xfId="0" applyFont="1" applyAlignment="1">
      <alignment/>
    </xf>
    <xf numFmtId="0" fontId="34" fillId="0" borderId="0" xfId="0" applyFont="1" applyAlignment="1">
      <alignment horizontal="center"/>
    </xf>
    <xf numFmtId="3" fontId="1" fillId="0" borderId="0" xfId="16" applyNumberFormat="1" applyAlignment="1">
      <alignment/>
    </xf>
    <xf numFmtId="41" fontId="48" fillId="0" borderId="0" xfId="16" applyFont="1" applyAlignment="1">
      <alignment horizontal="center"/>
    </xf>
    <xf numFmtId="41" fontId="49" fillId="0" borderId="0" xfId="16" applyFont="1" applyAlignment="1">
      <alignment horizontal="center"/>
    </xf>
    <xf numFmtId="41" fontId="50" fillId="0" borderId="0" xfId="16" applyFont="1" applyAlignment="1">
      <alignment horizontal="center"/>
    </xf>
    <xf numFmtId="41" fontId="51" fillId="0" borderId="0" xfId="16" applyFont="1" applyAlignment="1">
      <alignment horizontal="center"/>
    </xf>
    <xf numFmtId="41" fontId="9" fillId="0" borderId="6" xfId="16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1" fontId="49" fillId="0" borderId="6" xfId="16" applyFont="1" applyBorder="1" applyAlignment="1" quotePrefix="1">
      <alignment horizontal="center" vertical="center"/>
    </xf>
    <xf numFmtId="41" fontId="49" fillId="0" borderId="6" xfId="16" applyFont="1" applyBorder="1" applyAlignment="1">
      <alignment horizontal="center" vertical="center"/>
    </xf>
    <xf numFmtId="3" fontId="49" fillId="0" borderId="6" xfId="0" applyNumberFormat="1" applyFont="1" applyBorder="1" applyAlignment="1">
      <alignment horizontal="center" vertical="center"/>
    </xf>
    <xf numFmtId="41" fontId="52" fillId="0" borderId="12" xfId="16" applyFont="1" applyBorder="1" applyAlignment="1">
      <alignment vertical="center"/>
    </xf>
    <xf numFmtId="41" fontId="53" fillId="0" borderId="12" xfId="16" applyFont="1" applyBorder="1" applyAlignment="1" quotePrefix="1">
      <alignment horizontal="center"/>
    </xf>
    <xf numFmtId="3" fontId="49" fillId="0" borderId="12" xfId="16" applyNumberFormat="1" applyFont="1" applyBorder="1" applyAlignment="1">
      <alignment/>
    </xf>
    <xf numFmtId="164" fontId="0" fillId="0" borderId="12" xfId="15" applyNumberFormat="1" applyBorder="1" applyAlignment="1">
      <alignment/>
    </xf>
    <xf numFmtId="41" fontId="53" fillId="0" borderId="8" xfId="16" applyFont="1" applyBorder="1" applyAlignment="1">
      <alignment/>
    </xf>
    <xf numFmtId="41" fontId="53" fillId="0" borderId="8" xfId="16" applyFont="1" applyBorder="1" applyAlignment="1" quotePrefix="1">
      <alignment horizontal="center"/>
    </xf>
    <xf numFmtId="168" fontId="0" fillId="0" borderId="8" xfId="0" applyNumberFormat="1" applyBorder="1" applyAlignment="1">
      <alignment/>
    </xf>
    <xf numFmtId="164" fontId="0" fillId="0" borderId="8" xfId="15" applyNumberFormat="1" applyBorder="1" applyAlignment="1">
      <alignment/>
    </xf>
    <xf numFmtId="41" fontId="53" fillId="0" borderId="8" xfId="16" applyFont="1" applyBorder="1" applyAlignment="1">
      <alignment horizontal="left"/>
    </xf>
    <xf numFmtId="41" fontId="54" fillId="0" borderId="8" xfId="16" applyFont="1" applyBorder="1" applyAlignment="1">
      <alignment/>
    </xf>
    <xf numFmtId="41" fontId="55" fillId="0" borderId="8" xfId="16" applyFont="1" applyBorder="1" applyAlignment="1" quotePrefix="1">
      <alignment horizontal="center"/>
    </xf>
    <xf numFmtId="41" fontId="56" fillId="0" borderId="8" xfId="16" applyFont="1" applyBorder="1" applyAlignment="1" quotePrefix="1">
      <alignment horizontal="center"/>
    </xf>
    <xf numFmtId="168" fontId="57" fillId="0" borderId="8" xfId="0" applyNumberFormat="1" applyFont="1" applyBorder="1" applyAlignment="1">
      <alignment/>
    </xf>
    <xf numFmtId="41" fontId="52" fillId="0" borderId="8" xfId="16" applyFont="1" applyBorder="1" applyAlignment="1">
      <alignment vertical="center"/>
    </xf>
    <xf numFmtId="41" fontId="53" fillId="0" borderId="8" xfId="16" applyFont="1" applyBorder="1" applyAlignment="1">
      <alignment wrapText="1"/>
    </xf>
    <xf numFmtId="168" fontId="58" fillId="0" borderId="8" xfId="0" applyNumberFormat="1" applyFont="1" applyBorder="1" applyAlignment="1">
      <alignment/>
    </xf>
    <xf numFmtId="41" fontId="52" fillId="0" borderId="8" xfId="16" applyFont="1" applyBorder="1" applyAlignment="1">
      <alignment/>
    </xf>
    <xf numFmtId="41" fontId="49" fillId="0" borderId="8" xfId="16" applyFont="1" applyBorder="1" applyAlignment="1" quotePrefix="1">
      <alignment horizontal="center"/>
    </xf>
    <xf numFmtId="41" fontId="55" fillId="0" borderId="8" xfId="16" applyFont="1" applyBorder="1" applyAlignment="1">
      <alignment/>
    </xf>
    <xf numFmtId="41" fontId="55" fillId="0" borderId="5" xfId="16" applyFont="1" applyBorder="1" applyAlignment="1">
      <alignment/>
    </xf>
    <xf numFmtId="41" fontId="55" fillId="0" borderId="5" xfId="16" applyFont="1" applyBorder="1" applyAlignment="1" quotePrefix="1">
      <alignment horizontal="center"/>
    </xf>
    <xf numFmtId="168" fontId="57" fillId="0" borderId="9" xfId="0" applyNumberFormat="1" applyFont="1" applyBorder="1" applyAlignment="1">
      <alignment/>
    </xf>
    <xf numFmtId="168" fontId="0" fillId="0" borderId="0" xfId="0" applyNumberFormat="1" applyAlignment="1">
      <alignment/>
    </xf>
    <xf numFmtId="43" fontId="1" fillId="0" borderId="0" xfId="15" applyFont="1" applyAlignment="1">
      <alignment/>
    </xf>
    <xf numFmtId="3" fontId="1" fillId="0" borderId="0" xfId="16" applyNumberFormat="1" applyFont="1" applyAlignment="1">
      <alignment/>
    </xf>
    <xf numFmtId="43" fontId="59" fillId="0" borderId="0" xfId="15" applyFont="1" applyAlignment="1">
      <alignment/>
    </xf>
    <xf numFmtId="3" fontId="59" fillId="0" borderId="0" xfId="21" applyNumberFormat="1" applyFont="1" applyAlignment="1">
      <alignment/>
    </xf>
    <xf numFmtId="164" fontId="59" fillId="0" borderId="0" xfId="15" applyNumberFormat="1" applyFont="1" applyAlignment="1">
      <alignment/>
    </xf>
    <xf numFmtId="0" fontId="59" fillId="0" borderId="0" xfId="0" applyFont="1" applyAlignment="1">
      <alignment/>
    </xf>
    <xf numFmtId="3" fontId="20" fillId="0" borderId="0" xfId="15" applyNumberFormat="1" applyFont="1" applyAlignment="1">
      <alignment/>
    </xf>
    <xf numFmtId="3" fontId="9" fillId="0" borderId="0" xfId="21" applyNumberFormat="1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ASE\anghia\DOC\TH%20CAC%20BAO%20CAO%20QUYET%20TOAN%20NAM%202006\Bao%20cao%20quy%20III%20nam%202006\TH%20CAC%20BAO%20CAO%20LAM%20QUYET%20TOAN%20QUY%20III%20-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YET%20TOAN%20NAM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u phi- chi phi"/>
      <sheetName val="Thu -Chi BT TBH (2)"/>
      <sheetName val="Thu -Chi HH TBh"/>
      <sheetName val="Thu -Chi khac TBH"/>
      <sheetName val="TM BC TC"/>
      <sheetName val="TH thu chi KD  chua luong"/>
      <sheetName val="CLTG"/>
      <sheetName val="CDKT - KQKD (Sua doi)"/>
      <sheetName val="BCDKT-KQKD QII"/>
    </sheetNames>
    <sheetDataSet>
      <sheetData sheetId="1">
        <row r="60">
          <cell r="C60">
            <v>637475404156</v>
          </cell>
          <cell r="D60">
            <v>7457187065</v>
          </cell>
          <cell r="H60">
            <v>512345333959</v>
          </cell>
        </row>
      </sheetData>
      <sheetData sheetId="2">
        <row r="56">
          <cell r="E56">
            <v>79946260323</v>
          </cell>
        </row>
      </sheetData>
      <sheetData sheetId="4">
        <row r="40">
          <cell r="E40">
            <v>11088302970</v>
          </cell>
          <cell r="F40">
            <v>5722527696</v>
          </cell>
          <cell r="H40">
            <v>730612404</v>
          </cell>
          <cell r="I40">
            <v>14839300879</v>
          </cell>
        </row>
      </sheetData>
      <sheetData sheetId="5">
        <row r="8">
          <cell r="C8">
            <v>58918159257</v>
          </cell>
          <cell r="E8">
            <v>75804926055</v>
          </cell>
        </row>
        <row r="9">
          <cell r="E9">
            <v>126480274126</v>
          </cell>
        </row>
        <row r="12">
          <cell r="C12">
            <v>39650791252</v>
          </cell>
          <cell r="E12">
            <v>77481221</v>
          </cell>
        </row>
        <row r="13">
          <cell r="E13">
            <v>14762029058</v>
          </cell>
        </row>
        <row r="16">
          <cell r="C16">
            <v>52553456</v>
          </cell>
        </row>
        <row r="17">
          <cell r="E17">
            <v>3528258956.49</v>
          </cell>
        </row>
      </sheetData>
      <sheetData sheetId="7">
        <row r="10">
          <cell r="E10">
            <v>125122897</v>
          </cell>
        </row>
      </sheetData>
      <sheetData sheetId="8">
        <row r="60">
          <cell r="D60">
            <v>5550000000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 quan ly"/>
      <sheetName val="Chi tieungoai bang"/>
      <sheetName val="TG"/>
      <sheetName val="Du phong"/>
      <sheetName val="Thu phi chi phi"/>
      <sheetName val="Thu chi boi thuong"/>
      <sheetName val="Thu chi hoa hong"/>
      <sheetName val="Thu chi khac"/>
      <sheetName val="Sheet1"/>
      <sheetName val="Phan phoi loi tuc"/>
      <sheetName val="Thu chi kinh doanh chua luong"/>
      <sheetName val="TH kinh doanh co chua luong"/>
      <sheetName val="Lai lo q4"/>
      <sheetName val="Bao cao gui TT giao dinh Q4"/>
      <sheetName val="Bao cao lai lo"/>
      <sheetName val="Chi tieu giam sat"/>
      <sheetName val="Bang CDKT theo chuan muc"/>
      <sheetName val="TK1122"/>
      <sheetName val="TK1121"/>
      <sheetName val="TK1111"/>
      <sheetName val="BC luu chuyen tien te"/>
    </sheetNames>
    <sheetDataSet>
      <sheetData sheetId="4">
        <row r="56">
          <cell r="C56">
            <v>926272618776</v>
          </cell>
          <cell r="D56">
            <v>13867591606</v>
          </cell>
        </row>
      </sheetData>
      <sheetData sheetId="7">
        <row r="40">
          <cell r="F40">
            <v>6314812090</v>
          </cell>
        </row>
      </sheetData>
      <sheetData sheetId="9">
        <row r="10">
          <cell r="F10">
            <v>9002793677</v>
          </cell>
        </row>
        <row r="17">
          <cell r="F17">
            <v>113702875</v>
          </cell>
        </row>
      </sheetData>
      <sheetData sheetId="10">
        <row r="7">
          <cell r="E7">
            <v>703674668251</v>
          </cell>
        </row>
      </sheetData>
      <sheetData sheetId="11">
        <row r="8">
          <cell r="C8">
            <v>100251021875</v>
          </cell>
          <cell r="E8">
            <v>132174991396</v>
          </cell>
        </row>
        <row r="9">
          <cell r="C9">
            <v>162228746649</v>
          </cell>
          <cell r="E9">
            <v>244558017689</v>
          </cell>
        </row>
        <row r="10">
          <cell r="E10">
            <v>12510455975</v>
          </cell>
        </row>
        <row r="11">
          <cell r="C11">
            <v>15368638614</v>
          </cell>
          <cell r="E11">
            <v>424301467</v>
          </cell>
        </row>
        <row r="12">
          <cell r="C12">
            <v>47978409025</v>
          </cell>
          <cell r="E12">
            <v>119675550</v>
          </cell>
        </row>
        <row r="13">
          <cell r="E13">
            <v>23262543278</v>
          </cell>
        </row>
        <row r="14">
          <cell r="E14">
            <v>203409755</v>
          </cell>
        </row>
        <row r="15">
          <cell r="C15">
            <v>9366815894</v>
          </cell>
        </row>
        <row r="16">
          <cell r="E16">
            <v>91838877296</v>
          </cell>
        </row>
        <row r="17">
          <cell r="E17">
            <v>120903488860</v>
          </cell>
        </row>
        <row r="18">
          <cell r="E18">
            <v>6261910768</v>
          </cell>
        </row>
        <row r="19">
          <cell r="C19">
            <v>67720622117</v>
          </cell>
        </row>
        <row r="20">
          <cell r="C20">
            <v>97485319419</v>
          </cell>
        </row>
      </sheetData>
      <sheetData sheetId="12">
        <row r="9">
          <cell r="H9">
            <v>703674668251</v>
          </cell>
        </row>
      </sheetData>
      <sheetData sheetId="14">
        <row r="6">
          <cell r="D6">
            <v>926272618776</v>
          </cell>
        </row>
        <row r="9">
          <cell r="D9">
            <v>13867591606</v>
          </cell>
        </row>
        <row r="10">
          <cell r="D10">
            <v>24118255179</v>
          </cell>
        </row>
        <row r="11">
          <cell r="D11">
            <v>100251021875</v>
          </cell>
        </row>
        <row r="12">
          <cell r="D12">
            <v>21683450704</v>
          </cell>
        </row>
        <row r="18">
          <cell r="D18">
            <v>82329271040</v>
          </cell>
        </row>
        <row r="20">
          <cell r="D20">
            <v>23418169441</v>
          </cell>
        </row>
        <row r="21">
          <cell r="D21">
            <v>6261910768</v>
          </cell>
        </row>
        <row r="22">
          <cell r="D22">
            <v>145109748838</v>
          </cell>
        </row>
        <row r="29">
          <cell r="D29">
            <v>-203409755</v>
          </cell>
        </row>
        <row r="30">
          <cell r="D30">
            <v>23262543278</v>
          </cell>
        </row>
        <row r="32">
          <cell r="D32">
            <v>48383478866</v>
          </cell>
        </row>
        <row r="33">
          <cell r="D33">
            <v>119675550</v>
          </cell>
        </row>
        <row r="35">
          <cell r="D35">
            <v>9366815894</v>
          </cell>
        </row>
        <row r="36">
          <cell r="D36">
            <v>0</v>
          </cell>
        </row>
        <row r="41">
          <cell r="D41">
            <v>83592142409</v>
          </cell>
        </row>
        <row r="43">
          <cell r="D43">
            <v>10314909661.000002</v>
          </cell>
        </row>
        <row r="44">
          <cell r="D44">
            <v>113702875</v>
          </cell>
        </row>
      </sheetData>
      <sheetData sheetId="16">
        <row r="10">
          <cell r="D10">
            <v>93245227445</v>
          </cell>
        </row>
        <row r="13">
          <cell r="D13">
            <v>271454500000</v>
          </cell>
        </row>
        <row r="16">
          <cell r="D16">
            <v>143738780613</v>
          </cell>
        </row>
        <row r="25">
          <cell r="D25">
            <v>23842694</v>
          </cell>
        </row>
        <row r="28">
          <cell r="D28">
            <v>10704383113</v>
          </cell>
        </row>
        <row r="64">
          <cell r="D64">
            <v>205437149602</v>
          </cell>
        </row>
        <row r="69">
          <cell r="D69">
            <v>0</v>
          </cell>
        </row>
        <row r="70">
          <cell r="D70">
            <v>4787589445</v>
          </cell>
        </row>
        <row r="71">
          <cell r="D71">
            <v>2344723314</v>
          </cell>
        </row>
        <row r="72">
          <cell r="D72">
            <v>12956172018</v>
          </cell>
        </row>
        <row r="74">
          <cell r="D74">
            <v>235703473648</v>
          </cell>
        </row>
        <row r="87">
          <cell r="D87">
            <v>2012617791</v>
          </cell>
        </row>
        <row r="88">
          <cell r="D88">
            <v>10063088953</v>
          </cell>
        </row>
        <row r="89">
          <cell r="D89">
            <v>5031544477</v>
          </cell>
        </row>
        <row r="90">
          <cell r="D90">
            <v>47171296730</v>
          </cell>
        </row>
        <row r="91">
          <cell r="C91">
            <v>3723930132</v>
          </cell>
          <cell r="D91">
            <v>3318860291</v>
          </cell>
        </row>
        <row r="93">
          <cell r="D93">
            <v>2859165732</v>
          </cell>
        </row>
      </sheetData>
      <sheetData sheetId="17">
        <row r="38">
          <cell r="G38">
            <v>343708743520</v>
          </cell>
        </row>
        <row r="41">
          <cell r="G41">
            <v>2021760</v>
          </cell>
        </row>
        <row r="44">
          <cell r="D44">
            <v>323691097830</v>
          </cell>
        </row>
        <row r="45">
          <cell r="G45">
            <v>1548553440</v>
          </cell>
        </row>
        <row r="47">
          <cell r="G47">
            <v>16000000000</v>
          </cell>
        </row>
        <row r="48">
          <cell r="D48">
            <v>4709437120</v>
          </cell>
        </row>
        <row r="51">
          <cell r="D51">
            <v>37375184960</v>
          </cell>
        </row>
        <row r="52">
          <cell r="D52">
            <v>399160922</v>
          </cell>
        </row>
      </sheetData>
      <sheetData sheetId="18">
        <row r="12">
          <cell r="F12">
            <v>501488429</v>
          </cell>
        </row>
        <row r="22">
          <cell r="F22">
            <v>4532720882</v>
          </cell>
        </row>
        <row r="47">
          <cell r="C47">
            <v>81539152972</v>
          </cell>
        </row>
        <row r="55">
          <cell r="C55">
            <v>166263544674</v>
          </cell>
        </row>
        <row r="59">
          <cell r="C59">
            <v>810650293</v>
          </cell>
        </row>
        <row r="68">
          <cell r="C68">
            <v>40263055602</v>
          </cell>
        </row>
        <row r="72">
          <cell r="F72">
            <v>46672352163</v>
          </cell>
        </row>
        <row r="78">
          <cell r="C78">
            <v>217000000000</v>
          </cell>
        </row>
        <row r="81">
          <cell r="C81">
            <v>92000000</v>
          </cell>
        </row>
        <row r="86">
          <cell r="F86">
            <v>399964275350</v>
          </cell>
        </row>
        <row r="98">
          <cell r="F98">
            <v>7709667815</v>
          </cell>
        </row>
        <row r="106">
          <cell r="F106">
            <v>13594388362</v>
          </cell>
        </row>
        <row r="111">
          <cell r="F111">
            <v>25023444164</v>
          </cell>
        </row>
      </sheetData>
      <sheetData sheetId="19">
        <row r="13">
          <cell r="C13">
            <v>1740796436</v>
          </cell>
        </row>
        <row r="18">
          <cell r="C18">
            <v>775788649</v>
          </cell>
          <cell r="F18">
            <v>2605379608</v>
          </cell>
        </row>
        <row r="23">
          <cell r="C23">
            <v>438661295</v>
          </cell>
        </row>
        <row r="28">
          <cell r="C28">
            <v>231690957</v>
          </cell>
        </row>
        <row r="33">
          <cell r="C33">
            <v>6693449289</v>
          </cell>
        </row>
        <row r="43">
          <cell r="F43">
            <v>3130252817</v>
          </cell>
        </row>
        <row r="55">
          <cell r="F55">
            <v>3485148501</v>
          </cell>
        </row>
        <row r="59">
          <cell r="F59">
            <v>110407313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C14" sqref="C14"/>
    </sheetView>
  </sheetViews>
  <sheetFormatPr defaultColWidth="9.140625" defaultRowHeight="12.75"/>
  <cols>
    <col min="1" max="1" width="52.28125" style="0" customWidth="1"/>
    <col min="2" max="2" width="4.7109375" style="0" customWidth="1"/>
    <col min="3" max="3" width="4.8515625" style="0" customWidth="1"/>
    <col min="4" max="4" width="19.00390625" style="0" customWidth="1"/>
    <col min="5" max="5" width="18.57421875" style="0" customWidth="1"/>
    <col min="6" max="6" width="18.421875" style="0" hidden="1" customWidth="1"/>
    <col min="7" max="7" width="19.7109375" style="0" customWidth="1"/>
    <col min="8" max="8" width="18.7109375" style="2" customWidth="1"/>
    <col min="9" max="9" width="22.140625" style="3" hidden="1" customWidth="1"/>
    <col min="10" max="10" width="23.140625" style="0" hidden="1" customWidth="1"/>
  </cols>
  <sheetData>
    <row r="1" spans="1:5" ht="6" customHeight="1">
      <c r="A1" s="1"/>
      <c r="B1" s="1"/>
      <c r="C1" s="1"/>
      <c r="D1" s="1"/>
      <c r="E1" s="1"/>
    </row>
    <row r="2" spans="1:8" ht="18.7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6.5" customHeight="1">
      <c r="A4" s="1"/>
      <c r="B4" s="1"/>
      <c r="C4" s="1"/>
      <c r="D4" s="1"/>
      <c r="E4" s="1"/>
      <c r="F4" s="6"/>
      <c r="H4" s="7" t="s">
        <v>2</v>
      </c>
    </row>
    <row r="5" spans="1:8" ht="27.75" customHeight="1">
      <c r="A5" s="8" t="s">
        <v>3</v>
      </c>
      <c r="B5" s="8" t="s">
        <v>4</v>
      </c>
      <c r="C5" s="8" t="s">
        <v>5</v>
      </c>
      <c r="D5" s="9" t="s">
        <v>6</v>
      </c>
      <c r="E5" s="10"/>
      <c r="F5" s="9" t="s">
        <v>7</v>
      </c>
      <c r="G5" s="11"/>
      <c r="H5" s="10"/>
    </row>
    <row r="6" spans="1:10" ht="23.25" customHeight="1">
      <c r="A6" s="12"/>
      <c r="B6" s="12"/>
      <c r="C6" s="12"/>
      <c r="D6" s="13" t="s">
        <v>8</v>
      </c>
      <c r="E6" s="13" t="s">
        <v>9</v>
      </c>
      <c r="F6" s="14" t="s">
        <v>10</v>
      </c>
      <c r="G6" s="13" t="s">
        <v>9</v>
      </c>
      <c r="H6" s="15" t="s">
        <v>11</v>
      </c>
      <c r="I6" s="16" t="s">
        <v>12</v>
      </c>
      <c r="J6" s="16" t="s">
        <v>13</v>
      </c>
    </row>
    <row r="7" spans="1:10" s="21" customFormat="1" ht="18" customHeight="1">
      <c r="A7" s="17" t="s">
        <v>14</v>
      </c>
      <c r="B7" s="18" t="s">
        <v>15</v>
      </c>
      <c r="C7" s="18"/>
      <c r="D7" s="18">
        <f aca="true" t="shared" si="0" ref="D7:D46">H7-I7</f>
        <v>213386748428</v>
      </c>
      <c r="E7" s="18">
        <f aca="true" t="shared" si="1" ref="E7:E46">G7-F7</f>
        <v>153288273610</v>
      </c>
      <c r="F7" s="19">
        <f>'[1]Thu phi- chi phi'!$C$60</f>
        <v>637475404156</v>
      </c>
      <c r="G7" s="19">
        <v>790763677766</v>
      </c>
      <c r="H7" s="19">
        <f>'[2]Thu phi chi phi'!C56</f>
        <v>926272618776</v>
      </c>
      <c r="I7" s="20">
        <v>712885870348</v>
      </c>
      <c r="J7" s="20">
        <v>790763677766</v>
      </c>
    </row>
    <row r="8" spans="1:10" ht="17.25" customHeight="1">
      <c r="A8" s="22" t="s">
        <v>16</v>
      </c>
      <c r="B8" s="23" t="s">
        <v>17</v>
      </c>
      <c r="C8" s="23"/>
      <c r="D8" s="24">
        <f t="shared" si="0"/>
        <v>156772758074</v>
      </c>
      <c r="E8" s="24">
        <f t="shared" si="1"/>
        <v>112793285727</v>
      </c>
      <c r="F8" s="25">
        <f>F9+F10</f>
        <v>519802521024</v>
      </c>
      <c r="G8" s="25">
        <v>632595806751</v>
      </c>
      <c r="H8" s="25">
        <f>H9+H10</f>
        <v>717542259857</v>
      </c>
      <c r="I8" s="3">
        <v>560769501783</v>
      </c>
      <c r="J8" s="3">
        <v>632595806751</v>
      </c>
    </row>
    <row r="9" spans="1:10" s="31" customFormat="1" ht="17.25" customHeight="1">
      <c r="A9" s="26" t="s">
        <v>18</v>
      </c>
      <c r="B9" s="27" t="s">
        <v>19</v>
      </c>
      <c r="C9" s="27"/>
      <c r="D9" s="23">
        <f t="shared" si="0"/>
        <v>149040931769</v>
      </c>
      <c r="E9" s="23">
        <f t="shared" si="1"/>
        <v>112331259090</v>
      </c>
      <c r="F9" s="28">
        <f>'[1]Thu phi- chi phi'!$H$60</f>
        <v>512345333959</v>
      </c>
      <c r="G9" s="29">
        <v>624676593049</v>
      </c>
      <c r="H9" s="28">
        <f>'[2]Thu chi kinh doanh chua luong'!E7</f>
        <v>703674668251</v>
      </c>
      <c r="I9" s="30">
        <v>554633736482</v>
      </c>
      <c r="J9" s="30">
        <v>624676593049</v>
      </c>
    </row>
    <row r="10" spans="1:10" s="31" customFormat="1" ht="17.25" customHeight="1">
      <c r="A10" s="26" t="s">
        <v>20</v>
      </c>
      <c r="B10" s="27" t="s">
        <v>21</v>
      </c>
      <c r="C10" s="27"/>
      <c r="D10" s="23">
        <f t="shared" si="0"/>
        <v>7731826305</v>
      </c>
      <c r="E10" s="23">
        <f t="shared" si="1"/>
        <v>462026637</v>
      </c>
      <c r="F10" s="28">
        <f>'[1]Thu phi- chi phi'!$D$60</f>
        <v>7457187065</v>
      </c>
      <c r="G10" s="29">
        <v>7919213702</v>
      </c>
      <c r="H10" s="28">
        <f>'[2]Thu phi chi phi'!D56</f>
        <v>13867591606</v>
      </c>
      <c r="I10" s="30">
        <v>6135765301</v>
      </c>
      <c r="J10" s="30">
        <v>7919213702</v>
      </c>
    </row>
    <row r="11" spans="1:10" s="21" customFormat="1" ht="17.25" customHeight="1">
      <c r="A11" s="22" t="s">
        <v>22</v>
      </c>
      <c r="B11" s="24" t="s">
        <v>23</v>
      </c>
      <c r="C11" s="24"/>
      <c r="D11" s="24">
        <f t="shared" si="0"/>
        <v>9458387734.220894</v>
      </c>
      <c r="E11" s="24">
        <f t="shared" si="1"/>
        <v>-496120809.75</v>
      </c>
      <c r="F11" s="32">
        <v>7631868021</v>
      </c>
      <c r="G11" s="25">
        <v>7135747211.25</v>
      </c>
      <c r="H11" s="32">
        <f>'[2]TH kinh doanh co chua luong'!E16-'[2]TH kinh doanh co chua luong'!C19</f>
        <v>24118255179</v>
      </c>
      <c r="I11" s="20">
        <v>14659867444.779106</v>
      </c>
      <c r="J11" s="20">
        <v>7135747211.25</v>
      </c>
    </row>
    <row r="12" spans="1:10" s="21" customFormat="1" ht="17.25" customHeight="1">
      <c r="A12" s="22" t="s">
        <v>24</v>
      </c>
      <c r="B12" s="24" t="s">
        <v>25</v>
      </c>
      <c r="C12" s="24"/>
      <c r="D12" s="24">
        <f t="shared" si="0"/>
        <v>21758222167</v>
      </c>
      <c r="E12" s="24">
        <f t="shared" si="1"/>
        <v>13674741342</v>
      </c>
      <c r="F12" s="32">
        <f>'[1]TM BC TC'!$C$8</f>
        <v>58918159257</v>
      </c>
      <c r="G12" s="32">
        <v>72592900599</v>
      </c>
      <c r="H12" s="32">
        <f>'[2]TH kinh doanh co chua luong'!C8</f>
        <v>100251021875</v>
      </c>
      <c r="I12" s="20">
        <v>78492799708</v>
      </c>
      <c r="J12" s="20">
        <v>72592900599</v>
      </c>
    </row>
    <row r="13" spans="1:10" s="21" customFormat="1" ht="17.25" customHeight="1">
      <c r="A13" s="22" t="s">
        <v>26</v>
      </c>
      <c r="B13" s="24" t="s">
        <v>27</v>
      </c>
      <c r="C13" s="24"/>
      <c r="D13" s="24">
        <f t="shared" si="0"/>
        <v>9945048612</v>
      </c>
      <c r="E13" s="24">
        <f t="shared" si="1"/>
        <v>2879565075</v>
      </c>
      <c r="F13" s="22">
        <f>F14+F15</f>
        <v>16810830666</v>
      </c>
      <c r="G13" s="22">
        <v>19690395741</v>
      </c>
      <c r="H13" s="22">
        <f>H14+H15</f>
        <v>21683450704</v>
      </c>
      <c r="I13" s="20">
        <v>11738402092</v>
      </c>
      <c r="J13" s="20">
        <v>19690395741</v>
      </c>
    </row>
    <row r="14" spans="1:10" s="31" customFormat="1" ht="17.25" customHeight="1">
      <c r="A14" s="26" t="s">
        <v>28</v>
      </c>
      <c r="B14" s="27" t="s">
        <v>29</v>
      </c>
      <c r="C14" s="27"/>
      <c r="D14" s="23">
        <f t="shared" si="0"/>
        <v>665341287</v>
      </c>
      <c r="E14" s="23">
        <f t="shared" si="1"/>
        <v>983614208</v>
      </c>
      <c r="F14" s="28">
        <f>'[1]Thu -Chi khac TBH'!$F$40</f>
        <v>5722527696</v>
      </c>
      <c r="G14" s="29">
        <v>6706141904</v>
      </c>
      <c r="H14" s="28">
        <f>'[2]Thu chi khac'!F40</f>
        <v>6314812090</v>
      </c>
      <c r="I14" s="30">
        <v>5649470803</v>
      </c>
      <c r="J14" s="30">
        <v>6706141904</v>
      </c>
    </row>
    <row r="15" spans="1:10" s="31" customFormat="1" ht="17.25" customHeight="1">
      <c r="A15" s="26" t="s">
        <v>30</v>
      </c>
      <c r="B15" s="23" t="s">
        <v>31</v>
      </c>
      <c r="C15" s="23"/>
      <c r="D15" s="23">
        <f t="shared" si="0"/>
        <v>9279707325</v>
      </c>
      <c r="E15" s="23">
        <f t="shared" si="1"/>
        <v>1895950867</v>
      </c>
      <c r="F15" s="28">
        <f>'[1]Thu -Chi khac TBH'!$E$40</f>
        <v>11088302970</v>
      </c>
      <c r="G15" s="29">
        <v>12984253837</v>
      </c>
      <c r="H15" s="28">
        <f>'[2]TH kinh doanh co chua luong'!C11</f>
        <v>15368638614</v>
      </c>
      <c r="I15" s="30">
        <v>6088931289</v>
      </c>
      <c r="J15" s="30">
        <v>12984253837</v>
      </c>
    </row>
    <row r="16" spans="1:10" s="21" customFormat="1" ht="17.25" customHeight="1">
      <c r="A16" s="22" t="s">
        <v>32</v>
      </c>
      <c r="B16" s="24" t="s">
        <v>33</v>
      </c>
      <c r="C16" s="24"/>
      <c r="D16" s="24">
        <f t="shared" si="0"/>
        <v>78858873398.77911</v>
      </c>
      <c r="E16" s="24">
        <f t="shared" si="1"/>
        <v>57545415109.75</v>
      </c>
      <c r="F16" s="22">
        <f>F7-F8-F11+F12+F13</f>
        <v>185770005034</v>
      </c>
      <c r="G16" s="22">
        <v>243315420143.75</v>
      </c>
      <c r="H16" s="22">
        <f>H7-H8-H11+H12+H13</f>
        <v>306546576319</v>
      </c>
      <c r="I16" s="20">
        <v>227687702920.2209</v>
      </c>
      <c r="J16" s="20">
        <v>243315420143.75</v>
      </c>
    </row>
    <row r="17" spans="1:10" s="31" customFormat="1" ht="17.25" customHeight="1">
      <c r="A17" s="26" t="s">
        <v>34</v>
      </c>
      <c r="B17" s="27" t="s">
        <v>35</v>
      </c>
      <c r="C17" s="27"/>
      <c r="D17" s="23">
        <f t="shared" si="0"/>
        <v>72846256899</v>
      </c>
      <c r="E17" s="23">
        <f t="shared" si="1"/>
        <v>63053666311</v>
      </c>
      <c r="F17" s="28">
        <f>'[1]TM BC TC'!$E$9</f>
        <v>126480274126</v>
      </c>
      <c r="G17" s="29">
        <v>189533940437</v>
      </c>
      <c r="H17" s="28">
        <f>'[2]TH kinh doanh co chua luong'!E9</f>
        <v>244558017689</v>
      </c>
      <c r="I17" s="30">
        <v>171711760790</v>
      </c>
      <c r="J17" s="30">
        <v>189533940437</v>
      </c>
    </row>
    <row r="18" spans="1:10" s="31" customFormat="1" ht="17.25" customHeight="1">
      <c r="A18" s="26" t="s">
        <v>36</v>
      </c>
      <c r="B18" s="27" t="s">
        <v>37</v>
      </c>
      <c r="C18" s="27"/>
      <c r="D18" s="23">
        <f t="shared" si="0"/>
        <v>52488351010</v>
      </c>
      <c r="E18" s="23">
        <f t="shared" si="1"/>
        <v>40282532924</v>
      </c>
      <c r="F18" s="28">
        <f>'[1]Thu -Chi BT TBH (2)'!$E$56</f>
        <v>79946260323</v>
      </c>
      <c r="G18" s="29">
        <v>120228793247</v>
      </c>
      <c r="H18" s="28">
        <f>'[2]TH kinh doanh co chua luong'!C9</f>
        <v>162228746649</v>
      </c>
      <c r="I18" s="30">
        <v>109740395639</v>
      </c>
      <c r="J18" s="30">
        <v>120228793247</v>
      </c>
    </row>
    <row r="19" spans="1:10" s="21" customFormat="1" ht="17.25" customHeight="1">
      <c r="A19" s="22" t="s">
        <v>38</v>
      </c>
      <c r="B19" s="24" t="s">
        <v>39</v>
      </c>
      <c r="C19" s="24"/>
      <c r="D19" s="24">
        <f t="shared" si="0"/>
        <v>20357905889</v>
      </c>
      <c r="E19" s="24">
        <f t="shared" si="1"/>
        <v>22771133387</v>
      </c>
      <c r="F19" s="22">
        <f>F17-F18</f>
        <v>46534013803</v>
      </c>
      <c r="G19" s="22">
        <v>69305147190</v>
      </c>
      <c r="H19" s="22">
        <f>H17-H18</f>
        <v>82329271040</v>
      </c>
      <c r="I19" s="20">
        <v>61971365151</v>
      </c>
      <c r="J19" s="20">
        <v>69305147190</v>
      </c>
    </row>
    <row r="20" spans="1:10" s="31" customFormat="1" ht="17.25" customHeight="1">
      <c r="A20" s="26" t="s">
        <v>40</v>
      </c>
      <c r="B20" s="27" t="s">
        <v>41</v>
      </c>
      <c r="C20" s="27"/>
      <c r="D20" s="23">
        <f t="shared" si="0"/>
        <v>0</v>
      </c>
      <c r="E20" s="23">
        <f t="shared" si="1"/>
        <v>0</v>
      </c>
      <c r="F20" s="28">
        <v>0</v>
      </c>
      <c r="G20" s="29">
        <v>0</v>
      </c>
      <c r="H20" s="28">
        <v>0</v>
      </c>
      <c r="I20" s="30">
        <v>0</v>
      </c>
      <c r="J20" s="30">
        <v>0</v>
      </c>
    </row>
    <row r="21" spans="1:10" s="31" customFormat="1" ht="17.25" customHeight="1">
      <c r="A21" s="26" t="s">
        <v>42</v>
      </c>
      <c r="B21" s="27" t="s">
        <v>43</v>
      </c>
      <c r="C21" s="27"/>
      <c r="D21" s="23">
        <f t="shared" si="0"/>
        <v>9303975259</v>
      </c>
      <c r="E21" s="23">
        <f t="shared" si="1"/>
        <v>2331563944.7599945</v>
      </c>
      <c r="F21" s="28">
        <v>18114059720</v>
      </c>
      <c r="G21" s="29">
        <v>20445623664.759995</v>
      </c>
      <c r="H21" s="28">
        <f>'[2]TH kinh doanh co chua luong'!E17-'[2]TH kinh doanh co chua luong'!C20</f>
        <v>23418169441</v>
      </c>
      <c r="I21" s="30">
        <v>14114194182</v>
      </c>
      <c r="J21" s="30">
        <v>20445623664.759995</v>
      </c>
    </row>
    <row r="22" spans="1:10" s="31" customFormat="1" ht="17.25" customHeight="1">
      <c r="A22" s="26" t="s">
        <v>44</v>
      </c>
      <c r="B22" s="27" t="s">
        <v>45</v>
      </c>
      <c r="C22" s="27"/>
      <c r="D22" s="23">
        <f t="shared" si="0"/>
        <v>1698419711.0500002</v>
      </c>
      <c r="E22" s="23">
        <f t="shared" si="1"/>
        <v>1216777173.96</v>
      </c>
      <c r="F22" s="28">
        <f>'[1]TM BC TC'!$E$17</f>
        <v>3528258956.49</v>
      </c>
      <c r="G22" s="29">
        <v>4745036130.45</v>
      </c>
      <c r="H22" s="28">
        <f>'[2]TH kinh doanh co chua luong'!E18</f>
        <v>6261910768</v>
      </c>
      <c r="I22" s="30">
        <v>4563491056.95</v>
      </c>
      <c r="J22" s="30">
        <v>4745036130.45</v>
      </c>
    </row>
    <row r="23" spans="1:10" s="21" customFormat="1" ht="17.25" customHeight="1">
      <c r="A23" s="22" t="s">
        <v>46</v>
      </c>
      <c r="B23" s="24" t="s">
        <v>47</v>
      </c>
      <c r="C23" s="24"/>
      <c r="D23" s="24">
        <f t="shared" si="0"/>
        <v>33787582291</v>
      </c>
      <c r="E23" s="24">
        <f t="shared" si="1"/>
        <v>22224721958</v>
      </c>
      <c r="F23" s="22">
        <f>F24+F27</f>
        <v>91374839338</v>
      </c>
      <c r="G23" s="22">
        <v>113599561296</v>
      </c>
      <c r="H23" s="22">
        <f>H24+H27</f>
        <v>145109748838</v>
      </c>
      <c r="I23" s="20">
        <v>111322166547</v>
      </c>
      <c r="J23" s="20">
        <v>113599561296</v>
      </c>
    </row>
    <row r="24" spans="1:10" s="31" customFormat="1" ht="17.25" customHeight="1">
      <c r="A24" s="26" t="s">
        <v>48</v>
      </c>
      <c r="B24" s="27" t="s">
        <v>49</v>
      </c>
      <c r="C24" s="27"/>
      <c r="D24" s="23">
        <f t="shared" si="0"/>
        <v>33916919443</v>
      </c>
      <c r="E24" s="23">
        <f t="shared" si="1"/>
        <v>21643565898</v>
      </c>
      <c r="F24" s="26">
        <f>SUM(F25:F26)</f>
        <v>90644226934</v>
      </c>
      <c r="G24" s="26">
        <v>112287792832</v>
      </c>
      <c r="H24" s="26">
        <f>SUM(H25:H26)</f>
        <v>144685447371</v>
      </c>
      <c r="I24" s="30">
        <v>110768527928</v>
      </c>
      <c r="J24" s="30">
        <v>112287792832</v>
      </c>
    </row>
    <row r="25" spans="1:10" s="31" customFormat="1" ht="17.25" customHeight="1">
      <c r="A25" s="33" t="s">
        <v>50</v>
      </c>
      <c r="B25" s="27" t="s">
        <v>51</v>
      </c>
      <c r="C25" s="27"/>
      <c r="D25" s="23">
        <f t="shared" si="0"/>
        <v>32117781646</v>
      </c>
      <c r="E25" s="23">
        <f t="shared" si="1"/>
        <v>20004934102</v>
      </c>
      <c r="F25" s="28">
        <f>'[1]TM BC TC'!$E$8</f>
        <v>75804926055</v>
      </c>
      <c r="G25" s="29">
        <v>95809860157</v>
      </c>
      <c r="H25" s="28">
        <f>'[2]TH kinh doanh co chua luong'!E8</f>
        <v>132174991396</v>
      </c>
      <c r="I25" s="30">
        <v>100057209750</v>
      </c>
      <c r="J25" s="30">
        <v>95809860157</v>
      </c>
    </row>
    <row r="26" spans="1:10" s="31" customFormat="1" ht="17.25" customHeight="1">
      <c r="A26" s="33" t="s">
        <v>52</v>
      </c>
      <c r="B26" s="27" t="s">
        <v>53</v>
      </c>
      <c r="C26" s="27"/>
      <c r="D26" s="23">
        <f t="shared" si="0"/>
        <v>1799137797</v>
      </c>
      <c r="E26" s="23">
        <f t="shared" si="1"/>
        <v>1638631796</v>
      </c>
      <c r="F26" s="28">
        <f>'[1]Thu -Chi khac TBH'!$I$40</f>
        <v>14839300879</v>
      </c>
      <c r="G26" s="29">
        <v>16477932675</v>
      </c>
      <c r="H26" s="28">
        <f>'[2]TH kinh doanh co chua luong'!E10</f>
        <v>12510455975</v>
      </c>
      <c r="I26" s="30">
        <v>10711318178</v>
      </c>
      <c r="J26" s="30">
        <v>16477932675</v>
      </c>
    </row>
    <row r="27" spans="1:10" s="31" customFormat="1" ht="17.25" customHeight="1">
      <c r="A27" s="26" t="s">
        <v>54</v>
      </c>
      <c r="B27" s="27" t="s">
        <v>55</v>
      </c>
      <c r="C27" s="27"/>
      <c r="D27" s="24">
        <f t="shared" si="0"/>
        <v>-129337152</v>
      </c>
      <c r="E27" s="24">
        <f t="shared" si="1"/>
        <v>581156060</v>
      </c>
      <c r="F27" s="28">
        <f>'[1]Thu -Chi khac TBH'!$H$40</f>
        <v>730612404</v>
      </c>
      <c r="G27" s="29">
        <v>1311768464</v>
      </c>
      <c r="H27" s="28">
        <f>'[2]TH kinh doanh co chua luong'!E11</f>
        <v>424301467</v>
      </c>
      <c r="I27" s="30">
        <v>553638619</v>
      </c>
      <c r="J27" s="30">
        <v>1311768464</v>
      </c>
    </row>
    <row r="28" spans="1:10" s="21" customFormat="1" ht="17.25" customHeight="1">
      <c r="A28" s="34" t="s">
        <v>56</v>
      </c>
      <c r="B28" s="24" t="s">
        <v>57</v>
      </c>
      <c r="C28" s="24"/>
      <c r="D28" s="24">
        <f t="shared" si="0"/>
        <v>65147883150.04999</v>
      </c>
      <c r="E28" s="24">
        <f t="shared" si="1"/>
        <v>48544196463.72</v>
      </c>
      <c r="F28" s="22">
        <f>F19+F21+F22+F23</f>
        <v>159551171817.49</v>
      </c>
      <c r="G28" s="22">
        <v>208095368281.21</v>
      </c>
      <c r="H28" s="22">
        <f>H19+H21+H22+H23</f>
        <v>257119100087</v>
      </c>
      <c r="I28" s="20">
        <v>191971216936.95</v>
      </c>
      <c r="J28" s="20">
        <v>208095368281.21</v>
      </c>
    </row>
    <row r="29" spans="1:10" s="21" customFormat="1" ht="17.25" customHeight="1">
      <c r="A29" s="22" t="s">
        <v>58</v>
      </c>
      <c r="B29" s="24" t="s">
        <v>59</v>
      </c>
      <c r="C29" s="24"/>
      <c r="D29" s="24">
        <f t="shared" si="0"/>
        <v>13710990248.729126</v>
      </c>
      <c r="E29" s="24">
        <f t="shared" si="1"/>
        <v>9001218646.029999</v>
      </c>
      <c r="F29" s="22">
        <f>F16-F28</f>
        <v>26218833216.51001</v>
      </c>
      <c r="G29" s="22">
        <v>35220051862.54001</v>
      </c>
      <c r="H29" s="22">
        <f>H16-H28</f>
        <v>49427476232</v>
      </c>
      <c r="I29" s="20">
        <v>35716485983.270874</v>
      </c>
      <c r="J29" s="20">
        <v>35220051862.54001</v>
      </c>
    </row>
    <row r="30" spans="1:10" s="31" customFormat="1" ht="17.25" customHeight="1">
      <c r="A30" s="26" t="s">
        <v>60</v>
      </c>
      <c r="B30" s="27" t="s">
        <v>61</v>
      </c>
      <c r="C30" s="27"/>
      <c r="D30" s="23">
        <f t="shared" si="0"/>
        <v>54352234</v>
      </c>
      <c r="E30" s="23">
        <f t="shared" si="1"/>
        <v>302289671</v>
      </c>
      <c r="F30" s="28">
        <f>'[1]CLTG'!$E$10</f>
        <v>125122897</v>
      </c>
      <c r="G30" s="29">
        <v>427412568</v>
      </c>
      <c r="H30" s="28">
        <f>-'[2]TH kinh doanh co chua luong'!E14</f>
        <v>-203409755</v>
      </c>
      <c r="I30" s="30">
        <v>-257761989</v>
      </c>
      <c r="J30" s="30">
        <v>427412568</v>
      </c>
    </row>
    <row r="31" spans="1:10" s="31" customFormat="1" ht="17.25" customHeight="1">
      <c r="A31" s="26" t="s">
        <v>62</v>
      </c>
      <c r="B31" s="27" t="s">
        <v>63</v>
      </c>
      <c r="C31" s="27"/>
      <c r="D31" s="23">
        <f t="shared" si="0"/>
        <v>7742389098</v>
      </c>
      <c r="E31" s="23">
        <f t="shared" si="1"/>
        <v>4888501781</v>
      </c>
      <c r="F31" s="28">
        <f>'[1]TM BC TC'!$E$13</f>
        <v>14762029058</v>
      </c>
      <c r="G31" s="29">
        <v>19650530839</v>
      </c>
      <c r="H31" s="28">
        <f>'[2]TH kinh doanh co chua luong'!E13</f>
        <v>23262543278</v>
      </c>
      <c r="I31" s="30">
        <v>15520154180</v>
      </c>
      <c r="J31" s="30">
        <v>19650530839</v>
      </c>
    </row>
    <row r="32" spans="1:10" s="21" customFormat="1" ht="17.25" customHeight="1">
      <c r="A32" s="22" t="s">
        <v>64</v>
      </c>
      <c r="B32" s="24" t="s">
        <v>65</v>
      </c>
      <c r="C32" s="24"/>
      <c r="D32" s="24">
        <f t="shared" si="0"/>
        <v>6022953384.729126</v>
      </c>
      <c r="E32" s="24">
        <f t="shared" si="1"/>
        <v>4415006536.029999</v>
      </c>
      <c r="F32" s="22">
        <f>F29+F30-F31</f>
        <v>11581927055.51001</v>
      </c>
      <c r="G32" s="22">
        <v>15996933591.540009</v>
      </c>
      <c r="H32" s="22">
        <f>H29+H30-H31</f>
        <v>25961523199</v>
      </c>
      <c r="I32" s="20">
        <v>19938569814.270874</v>
      </c>
      <c r="J32" s="20">
        <v>15996933591.540009</v>
      </c>
    </row>
    <row r="33" spans="1:10" s="31" customFormat="1" ht="17.25" customHeight="1">
      <c r="A33" s="26" t="s">
        <v>66</v>
      </c>
      <c r="B33" s="27" t="s">
        <v>67</v>
      </c>
      <c r="C33" s="27"/>
      <c r="D33" s="23">
        <f t="shared" si="0"/>
        <v>7698638434</v>
      </c>
      <c r="E33" s="23">
        <f t="shared" si="1"/>
        <v>15887909772</v>
      </c>
      <c r="F33" s="28">
        <f>'[1]TM BC TC'!$C$12</f>
        <v>39650791252</v>
      </c>
      <c r="G33" s="29">
        <v>55538701024</v>
      </c>
      <c r="H33" s="28">
        <f>'[2]TH kinh doanh co chua luong'!C12+405069841</f>
        <v>48383478866</v>
      </c>
      <c r="I33" s="35">
        <v>40684840432</v>
      </c>
      <c r="J33" s="30">
        <v>55538701024</v>
      </c>
    </row>
    <row r="34" spans="1:10" s="31" customFormat="1" ht="17.25" customHeight="1">
      <c r="A34" s="26" t="s">
        <v>68</v>
      </c>
      <c r="B34" s="27" t="s">
        <v>69</v>
      </c>
      <c r="C34" s="27"/>
      <c r="D34" s="23">
        <f t="shared" si="0"/>
        <v>39675550</v>
      </c>
      <c r="E34" s="23">
        <f t="shared" si="1"/>
        <v>0</v>
      </c>
      <c r="F34" s="28">
        <f>'[1]TM BC TC'!$E$12</f>
        <v>77481221</v>
      </c>
      <c r="G34" s="29">
        <v>77481221</v>
      </c>
      <c r="H34" s="28">
        <f>'[2]TH kinh doanh co chua luong'!E12</f>
        <v>119675550</v>
      </c>
      <c r="I34" s="35">
        <v>80000000</v>
      </c>
      <c r="J34" s="30">
        <v>77481221</v>
      </c>
    </row>
    <row r="35" spans="1:10" s="21" customFormat="1" ht="17.25" customHeight="1">
      <c r="A35" s="22" t="s">
        <v>70</v>
      </c>
      <c r="B35" s="24" t="s">
        <v>71</v>
      </c>
      <c r="C35" s="24"/>
      <c r="D35" s="24">
        <f t="shared" si="0"/>
        <v>7658962884</v>
      </c>
      <c r="E35" s="24">
        <f t="shared" si="1"/>
        <v>15887909772</v>
      </c>
      <c r="F35" s="22">
        <f>F33-F34</f>
        <v>39573310031</v>
      </c>
      <c r="G35" s="22">
        <v>55461219803</v>
      </c>
      <c r="H35" s="22">
        <f>H33-H34</f>
        <v>48263803316</v>
      </c>
      <c r="I35" s="36">
        <v>40604840432</v>
      </c>
      <c r="J35" s="20">
        <v>55461219803</v>
      </c>
    </row>
    <row r="36" spans="1:10" s="31" customFormat="1" ht="17.25" customHeight="1">
      <c r="A36" s="26" t="s">
        <v>72</v>
      </c>
      <c r="B36" s="27" t="s">
        <v>73</v>
      </c>
      <c r="C36" s="27"/>
      <c r="D36" s="23">
        <f t="shared" si="0"/>
        <v>9360815894</v>
      </c>
      <c r="E36" s="23">
        <f t="shared" si="1"/>
        <v>6090908</v>
      </c>
      <c r="F36" s="28">
        <f>'[1]TM BC TC'!$C$16</f>
        <v>52553456</v>
      </c>
      <c r="G36" s="29">
        <v>58644364</v>
      </c>
      <c r="H36" s="28">
        <f>'[2]TH kinh doanh co chua luong'!C15</f>
        <v>9366815894</v>
      </c>
      <c r="I36" s="35">
        <v>6000000</v>
      </c>
      <c r="J36" s="30">
        <v>58644364</v>
      </c>
    </row>
    <row r="37" spans="1:10" s="31" customFormat="1" ht="17.25" customHeight="1">
      <c r="A37" s="26" t="s">
        <v>74</v>
      </c>
      <c r="B37" s="27" t="s">
        <v>75</v>
      </c>
      <c r="C37" s="27"/>
      <c r="D37" s="23">
        <f t="shared" si="0"/>
        <v>0</v>
      </c>
      <c r="E37" s="23">
        <f t="shared" si="1"/>
        <v>0</v>
      </c>
      <c r="F37" s="28">
        <v>0</v>
      </c>
      <c r="G37" s="29">
        <v>0</v>
      </c>
      <c r="H37" s="28">
        <v>0</v>
      </c>
      <c r="I37" s="35">
        <v>0</v>
      </c>
      <c r="J37" s="30">
        <v>0</v>
      </c>
    </row>
    <row r="38" spans="1:10" s="21" customFormat="1" ht="17.25" customHeight="1">
      <c r="A38" s="22" t="s">
        <v>76</v>
      </c>
      <c r="B38" s="24" t="s">
        <v>77</v>
      </c>
      <c r="C38" s="24"/>
      <c r="D38" s="24">
        <f t="shared" si="0"/>
        <v>9360815894</v>
      </c>
      <c r="E38" s="24">
        <f t="shared" si="1"/>
        <v>6090908</v>
      </c>
      <c r="F38" s="22">
        <f>F36-F37</f>
        <v>52553456</v>
      </c>
      <c r="G38" s="22">
        <v>58644364</v>
      </c>
      <c r="H38" s="22">
        <f>H36-H37</f>
        <v>9366815894</v>
      </c>
      <c r="I38" s="36">
        <v>6000000</v>
      </c>
      <c r="J38" s="20">
        <v>58644364</v>
      </c>
    </row>
    <row r="39" spans="1:10" s="21" customFormat="1" ht="17.25" customHeight="1">
      <c r="A39" s="22" t="s">
        <v>78</v>
      </c>
      <c r="B39" s="24" t="s">
        <v>79</v>
      </c>
      <c r="C39" s="24"/>
      <c r="D39" s="24">
        <f t="shared" si="0"/>
        <v>23042732162.729126</v>
      </c>
      <c r="E39" s="24">
        <f t="shared" si="1"/>
        <v>20309007216.03</v>
      </c>
      <c r="F39" s="22">
        <f>F32+F35+F38</f>
        <v>51207790542.51001</v>
      </c>
      <c r="G39" s="22">
        <v>71516797758.54001</v>
      </c>
      <c r="H39" s="22">
        <f>H32+H35+H38</f>
        <v>83592142409</v>
      </c>
      <c r="I39" s="36">
        <v>60549410246.270874</v>
      </c>
      <c r="J39" s="20">
        <v>71516797758.54001</v>
      </c>
    </row>
    <row r="40" spans="1:10" s="21" customFormat="1" ht="33" customHeight="1">
      <c r="A40" s="37" t="s">
        <v>80</v>
      </c>
      <c r="B40" s="24" t="s">
        <v>81</v>
      </c>
      <c r="C40" s="24"/>
      <c r="D40" s="23">
        <f t="shared" si="0"/>
        <v>4776704423</v>
      </c>
      <c r="E40" s="23">
        <f t="shared" si="1"/>
        <v>9233471360</v>
      </c>
      <c r="F40" s="22">
        <v>0</v>
      </c>
      <c r="G40" s="22">
        <f>8807564463+G41</f>
        <v>9233471360</v>
      </c>
      <c r="H40" s="22">
        <f>'[2]Phan phoi loi tuc'!F10+911422582</f>
        <v>9914216259</v>
      </c>
      <c r="I40" s="36">
        <v>5137511836</v>
      </c>
      <c r="J40" s="20">
        <v>8807564463</v>
      </c>
    </row>
    <row r="41" spans="1:10" s="21" customFormat="1" ht="19.5" customHeight="1">
      <c r="A41" s="38" t="s">
        <v>82</v>
      </c>
      <c r="B41" s="39"/>
      <c r="C41" s="39"/>
      <c r="D41" s="39">
        <f t="shared" si="0"/>
        <v>911422582</v>
      </c>
      <c r="E41" s="39">
        <f t="shared" si="1"/>
        <v>425906897</v>
      </c>
      <c r="F41" s="40"/>
      <c r="G41" s="40">
        <v>425906897</v>
      </c>
      <c r="H41" s="40">
        <v>911422582</v>
      </c>
      <c r="I41" s="36"/>
      <c r="J41" s="20"/>
    </row>
    <row r="42" spans="1:10" ht="17.25" customHeight="1">
      <c r="A42" s="22" t="s">
        <v>83</v>
      </c>
      <c r="B42" s="24" t="s">
        <v>84</v>
      </c>
      <c r="C42" s="24"/>
      <c r="D42" s="24">
        <f t="shared" si="0"/>
        <v>23042732162.729126</v>
      </c>
      <c r="E42" s="24">
        <f t="shared" si="1"/>
        <v>20309007216.48999</v>
      </c>
      <c r="F42" s="22">
        <f>F39</f>
        <v>51207790542.51001</v>
      </c>
      <c r="G42" s="22">
        <v>71516797759</v>
      </c>
      <c r="H42" s="22">
        <f>H39</f>
        <v>83592142409</v>
      </c>
      <c r="I42" s="41">
        <v>60549410246.270874</v>
      </c>
      <c r="J42" s="3">
        <f>71516797759</f>
        <v>71516797759</v>
      </c>
    </row>
    <row r="43" spans="1:10" s="31" customFormat="1" ht="17.25" customHeight="1">
      <c r="A43" s="26" t="s">
        <v>85</v>
      </c>
      <c r="B43" s="27" t="s">
        <v>86</v>
      </c>
      <c r="C43" s="27"/>
      <c r="D43" s="23">
        <f t="shared" si="0"/>
        <v>18266027739.729126</v>
      </c>
      <c r="E43" s="23">
        <f t="shared" si="1"/>
        <v>11927349650.48999</v>
      </c>
      <c r="F43" s="28">
        <f>F42</f>
        <v>51207790542.51001</v>
      </c>
      <c r="G43" s="29">
        <v>63135140193</v>
      </c>
      <c r="H43" s="28">
        <f>H39-H40</f>
        <v>73677926150</v>
      </c>
      <c r="I43" s="35">
        <v>55411898410.270874</v>
      </c>
      <c r="J43" s="30">
        <v>63135140193</v>
      </c>
    </row>
    <row r="44" spans="1:10" s="31" customFormat="1" ht="17.25" customHeight="1">
      <c r="A44" s="26" t="s">
        <v>87</v>
      </c>
      <c r="B44" s="27" t="s">
        <v>88</v>
      </c>
      <c r="C44" s="27"/>
      <c r="D44" s="42">
        <f t="shared" si="0"/>
        <v>2557243883.5620785</v>
      </c>
      <c r="E44" s="42">
        <f t="shared" si="1"/>
        <v>5498649516</v>
      </c>
      <c r="F44" s="43">
        <f>'[1]CDKT - KQKD (Sua doi)'!$D$60</f>
        <v>5550000000</v>
      </c>
      <c r="G44" s="44">
        <v>11048649516</v>
      </c>
      <c r="H44" s="43">
        <f>H43*14%</f>
        <v>10314909661.000002</v>
      </c>
      <c r="I44" s="35">
        <v>7757665777.437923</v>
      </c>
      <c r="J44" s="30">
        <v>11048649516</v>
      </c>
    </row>
    <row r="45" spans="1:10" s="31" customFormat="1" ht="17.25" customHeight="1">
      <c r="A45" s="26" t="s">
        <v>89</v>
      </c>
      <c r="B45" s="45">
        <v>61</v>
      </c>
      <c r="C45" s="45"/>
      <c r="D45" s="46">
        <f t="shared" si="0"/>
        <v>113702875</v>
      </c>
      <c r="E45" s="42">
        <f t="shared" si="1"/>
        <v>0</v>
      </c>
      <c r="F45" s="47"/>
      <c r="G45" s="48">
        <v>0</v>
      </c>
      <c r="H45" s="47">
        <f>'[2]Phan phoi loi tuc'!F17</f>
        <v>113702875</v>
      </c>
      <c r="I45" s="35">
        <v>0</v>
      </c>
      <c r="J45" s="30">
        <v>0</v>
      </c>
    </row>
    <row r="46" spans="1:10" ht="22.5" customHeight="1">
      <c r="A46" s="49" t="s">
        <v>90</v>
      </c>
      <c r="B46" s="50">
        <v>62</v>
      </c>
      <c r="C46" s="50"/>
      <c r="D46" s="51">
        <f t="shared" si="0"/>
        <v>20371785404.167053</v>
      </c>
      <c r="E46" s="51">
        <f t="shared" si="1"/>
        <v>14810357700.48999</v>
      </c>
      <c r="F46" s="49">
        <f>F43-F44</f>
        <v>45657790542.51001</v>
      </c>
      <c r="G46" s="52">
        <v>60468148243</v>
      </c>
      <c r="H46" s="49">
        <f>H42-H44-H45</f>
        <v>73163529873</v>
      </c>
      <c r="I46" s="53">
        <f>I42-I44</f>
        <v>52791744468.83295</v>
      </c>
      <c r="J46" s="54">
        <f>J42-J44</f>
        <v>60468148243</v>
      </c>
    </row>
    <row r="47" spans="1:9" s="56" customFormat="1" ht="29.25" customHeight="1">
      <c r="A47" s="55" t="s">
        <v>91</v>
      </c>
      <c r="H47" s="57"/>
      <c r="I47" s="58"/>
    </row>
    <row r="48" spans="1:9" s="31" customFormat="1" ht="27" customHeight="1">
      <c r="A48" s="59" t="s">
        <v>92</v>
      </c>
      <c r="B48" s="59"/>
      <c r="C48" s="59"/>
      <c r="D48" s="59"/>
      <c r="E48" s="59"/>
      <c r="F48" s="59" t="s">
        <v>93</v>
      </c>
      <c r="G48" s="60" t="s">
        <v>94</v>
      </c>
      <c r="H48" s="61"/>
      <c r="I48" s="30"/>
    </row>
    <row r="49" spans="1:8" ht="15">
      <c r="A49" s="62"/>
      <c r="B49" s="62"/>
      <c r="C49" s="62"/>
      <c r="D49" s="62"/>
      <c r="E49" s="62"/>
      <c r="G49" s="63"/>
      <c r="H49" s="62"/>
    </row>
    <row r="50" spans="1:8" ht="15">
      <c r="A50" s="62"/>
      <c r="B50" s="62"/>
      <c r="C50" s="62"/>
      <c r="D50" s="62"/>
      <c r="E50" s="62"/>
      <c r="G50" s="62"/>
      <c r="H50" s="62"/>
    </row>
    <row r="51" spans="1:8" ht="12.75" customHeight="1">
      <c r="A51" s="62"/>
      <c r="B51" s="62"/>
      <c r="C51" s="62"/>
      <c r="D51" s="62"/>
      <c r="E51" s="62"/>
      <c r="G51" s="62"/>
      <c r="H51" s="62"/>
    </row>
    <row r="52" spans="1:8" ht="8.25" customHeight="1">
      <c r="A52" s="62"/>
      <c r="B52" s="62"/>
      <c r="C52" s="62"/>
      <c r="D52" s="62"/>
      <c r="E52" s="62"/>
      <c r="G52" s="62"/>
      <c r="H52" s="62"/>
    </row>
    <row r="53" spans="1:8" ht="18" customHeight="1">
      <c r="A53" s="64"/>
      <c r="B53" s="65"/>
      <c r="C53" s="65"/>
      <c r="D53" s="65"/>
      <c r="E53" s="65"/>
      <c r="G53" s="64"/>
      <c r="H53" s="65"/>
    </row>
    <row r="54" spans="2:9" s="56" customFormat="1" ht="6" customHeight="1" hidden="1">
      <c r="B54" s="66"/>
      <c r="C54" s="66"/>
      <c r="D54" s="66"/>
      <c r="E54" s="66"/>
      <c r="G54" s="67" t="s">
        <v>95</v>
      </c>
      <c r="H54" s="68"/>
      <c r="I54" s="58"/>
    </row>
    <row r="55" spans="1:7" ht="43.5" customHeight="1">
      <c r="A55" s="69" t="s">
        <v>96</v>
      </c>
      <c r="F55" s="66" t="s">
        <v>97</v>
      </c>
      <c r="G55" s="67" t="s">
        <v>95</v>
      </c>
    </row>
  </sheetData>
  <mergeCells count="7">
    <mergeCell ref="A2:H2"/>
    <mergeCell ref="A3:H3"/>
    <mergeCell ref="A5:A6"/>
    <mergeCell ref="B5:B6"/>
    <mergeCell ref="C5:C6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5">
      <selection activeCell="B64" sqref="B64"/>
    </sheetView>
  </sheetViews>
  <sheetFormatPr defaultColWidth="9.140625" defaultRowHeight="12.75"/>
  <cols>
    <col min="1" max="1" width="5.8515625" style="72" customWidth="1"/>
    <col min="2" max="2" width="43.00390625" style="0" customWidth="1"/>
    <col min="3" max="4" width="18.8515625" style="0" customWidth="1"/>
    <col min="5" max="5" width="31.7109375" style="0" customWidth="1"/>
    <col min="6" max="6" width="17.57421875" style="0" customWidth="1"/>
  </cols>
  <sheetData>
    <row r="1" spans="1:9" ht="23.25" customHeight="1">
      <c r="A1" s="70" t="s">
        <v>98</v>
      </c>
      <c r="E1" s="71"/>
      <c r="F1" s="71"/>
      <c r="G1" s="71"/>
      <c r="H1" s="71"/>
      <c r="I1" s="71"/>
    </row>
    <row r="2" spans="5:9" ht="2.25" customHeight="1">
      <c r="E2" s="71"/>
      <c r="F2" s="71"/>
      <c r="G2" s="71"/>
      <c r="H2" s="71"/>
      <c r="I2" s="71"/>
    </row>
    <row r="3" spans="1:9" ht="20.25" customHeight="1">
      <c r="A3" s="73" t="s">
        <v>99</v>
      </c>
      <c r="B3" s="73"/>
      <c r="C3" s="73"/>
      <c r="D3" s="73"/>
      <c r="E3" s="71"/>
      <c r="F3" s="71"/>
      <c r="G3" s="71"/>
      <c r="H3" s="71"/>
      <c r="I3" s="71"/>
    </row>
    <row r="4" spans="1:9" ht="1.5" customHeight="1" hidden="1">
      <c r="A4" s="74" t="s">
        <v>100</v>
      </c>
      <c r="B4" s="75"/>
      <c r="C4" s="75"/>
      <c r="D4" s="75"/>
      <c r="E4" s="71"/>
      <c r="F4" s="71"/>
      <c r="G4" s="71"/>
      <c r="H4" s="71"/>
      <c r="I4" s="71"/>
    </row>
    <row r="5" spans="1:9" ht="36" customHeight="1">
      <c r="A5" s="76" t="s">
        <v>101</v>
      </c>
      <c r="B5" s="76"/>
      <c r="C5" s="76"/>
      <c r="D5" s="76"/>
      <c r="E5" s="71"/>
      <c r="F5" s="71"/>
      <c r="G5" s="71"/>
      <c r="H5" s="71"/>
      <c r="I5" s="71"/>
    </row>
    <row r="6" spans="1:9" ht="1.5" customHeight="1" hidden="1">
      <c r="A6" s="77"/>
      <c r="B6" s="78"/>
      <c r="C6" s="78"/>
      <c r="D6" s="78"/>
      <c r="E6" s="71"/>
      <c r="F6" s="71"/>
      <c r="G6" s="71"/>
      <c r="H6" s="71"/>
      <c r="I6" s="71"/>
    </row>
    <row r="7" spans="1:9" ht="1.5" customHeight="1" hidden="1">
      <c r="A7" s="77"/>
      <c r="B7" s="78"/>
      <c r="C7" s="78"/>
      <c r="D7" s="78"/>
      <c r="E7" s="71"/>
      <c r="F7" s="71"/>
      <c r="G7" s="71"/>
      <c r="H7" s="71"/>
      <c r="I7" s="71"/>
    </row>
    <row r="8" spans="1:9" ht="15" customHeight="1">
      <c r="A8" s="79" t="s">
        <v>102</v>
      </c>
      <c r="B8" s="80"/>
      <c r="C8" s="80"/>
      <c r="D8" s="80"/>
      <c r="E8" s="71"/>
      <c r="F8" s="71"/>
      <c r="G8" s="71"/>
      <c r="H8" s="71"/>
      <c r="I8" s="71"/>
    </row>
    <row r="9" spans="2:9" ht="2.25" customHeight="1">
      <c r="B9" s="81"/>
      <c r="C9" s="82"/>
      <c r="E9" s="71"/>
      <c r="F9" s="71"/>
      <c r="G9" s="71"/>
      <c r="H9" s="71"/>
      <c r="I9" s="71"/>
    </row>
    <row r="10" spans="1:9" s="86" customFormat="1" ht="16.5" customHeight="1">
      <c r="A10" s="83" t="s">
        <v>103</v>
      </c>
      <c r="B10" s="84" t="s">
        <v>104</v>
      </c>
      <c r="C10" s="85" t="s">
        <v>105</v>
      </c>
      <c r="D10" s="85" t="s">
        <v>106</v>
      </c>
      <c r="E10" s="71"/>
      <c r="F10" s="71"/>
      <c r="G10" s="71"/>
      <c r="H10" s="71"/>
      <c r="I10" s="71"/>
    </row>
    <row r="11" spans="1:9" s="86" customFormat="1" ht="14.25" customHeight="1">
      <c r="A11" s="87" t="s">
        <v>107</v>
      </c>
      <c r="B11" s="88" t="s">
        <v>108</v>
      </c>
      <c r="C11" s="89">
        <f>SUM(C12:C16)</f>
        <v>583921336216</v>
      </c>
      <c r="D11" s="89">
        <f>SUM(D12:D16)</f>
        <v>519166733865</v>
      </c>
      <c r="E11" s="71"/>
      <c r="F11" s="71"/>
      <c r="G11" s="90"/>
      <c r="H11" s="71"/>
      <c r="I11" s="71"/>
    </row>
    <row r="12" spans="1:9" s="86" customFormat="1" ht="13.5" customHeight="1">
      <c r="A12" s="91">
        <v>1</v>
      </c>
      <c r="B12" s="92" t="s">
        <v>109</v>
      </c>
      <c r="C12" s="93">
        <f>979410925+52980540018+45315828027</f>
        <v>99275778970</v>
      </c>
      <c r="D12" s="93">
        <f>'[2]Bang CDKT theo chuan muc'!D10</f>
        <v>93245227445</v>
      </c>
      <c r="E12" s="71"/>
      <c r="F12" s="71"/>
      <c r="G12" s="71"/>
      <c r="H12" s="71"/>
      <c r="I12" s="71"/>
    </row>
    <row r="13" spans="1:9" s="86" customFormat="1" ht="13.5" customHeight="1">
      <c r="A13" s="91">
        <v>2</v>
      </c>
      <c r="B13" s="92" t="s">
        <v>110</v>
      </c>
      <c r="C13" s="93">
        <f>7809275350+213453000000-119675550</f>
        <v>221142599800</v>
      </c>
      <c r="D13" s="93">
        <f>'[2]Bang CDKT theo chuan muc'!D13</f>
        <v>271454500000</v>
      </c>
      <c r="E13" s="71"/>
      <c r="F13" s="71"/>
      <c r="G13" s="71"/>
      <c r="H13" s="71"/>
      <c r="I13" s="71"/>
    </row>
    <row r="14" spans="1:9" s="86" customFormat="1" ht="13.5" customHeight="1">
      <c r="A14" s="91">
        <v>3</v>
      </c>
      <c r="B14" s="92" t="s">
        <v>111</v>
      </c>
      <c r="C14" s="93">
        <f>134595617189+102850859475+26170909579-406081696+120000000</f>
        <v>263331304547</v>
      </c>
      <c r="D14" s="93">
        <f>'[2]Bang CDKT theo chuan muc'!D16</f>
        <v>143738780613</v>
      </c>
      <c r="E14" s="71"/>
      <c r="F14" s="71"/>
      <c r="G14" s="71"/>
      <c r="H14" s="71"/>
      <c r="I14" s="71"/>
    </row>
    <row r="15" spans="1:9" s="86" customFormat="1" ht="13.5" customHeight="1">
      <c r="A15" s="91">
        <v>4</v>
      </c>
      <c r="B15" s="92" t="s">
        <v>112</v>
      </c>
      <c r="C15" s="94">
        <v>33666772</v>
      </c>
      <c r="D15" s="93">
        <f>'[2]Bang CDKT theo chuan muc'!D25</f>
        <v>23842694</v>
      </c>
      <c r="E15" s="71"/>
      <c r="F15" s="71"/>
      <c r="G15" s="71"/>
      <c r="H15" s="71"/>
      <c r="I15" s="71"/>
    </row>
    <row r="16" spans="1:9" s="86" customFormat="1" ht="13.5" customHeight="1">
      <c r="A16" s="91">
        <v>5</v>
      </c>
      <c r="B16" s="92" t="s">
        <v>113</v>
      </c>
      <c r="C16" s="94">
        <f>50972971+87013156</f>
        <v>137986127</v>
      </c>
      <c r="D16" s="93">
        <f>'[2]Bang CDKT theo chuan muc'!D28</f>
        <v>10704383113</v>
      </c>
      <c r="E16" s="71"/>
      <c r="F16" s="71"/>
      <c r="G16" s="71"/>
      <c r="H16" s="71"/>
      <c r="I16" s="71"/>
    </row>
    <row r="17" spans="1:9" s="86" customFormat="1" ht="14.25" customHeight="1">
      <c r="A17" s="95" t="s">
        <v>114</v>
      </c>
      <c r="B17" s="96" t="s">
        <v>115</v>
      </c>
      <c r="C17" s="97">
        <f>SUM(C18,C23,C24,C25,C26,C27)</f>
        <v>631127826686</v>
      </c>
      <c r="D17" s="97">
        <f>SUM(D18,D23,D24,D25,)</f>
        <v>375559276843</v>
      </c>
      <c r="E17" s="71"/>
      <c r="F17" s="71"/>
      <c r="G17" s="71"/>
      <c r="H17" s="71"/>
      <c r="I17" s="71"/>
    </row>
    <row r="18" spans="1:9" s="86" customFormat="1" ht="13.5" customHeight="1">
      <c r="A18" s="91">
        <v>1</v>
      </c>
      <c r="B18" s="98" t="s">
        <v>116</v>
      </c>
      <c r="C18" s="93">
        <f>SUM(C19:C22)</f>
        <v>53593422527</v>
      </c>
      <c r="D18" s="93">
        <f>SUM(D19:D22)</f>
        <v>56633767161</v>
      </c>
      <c r="E18" s="71"/>
      <c r="F18" s="71"/>
      <c r="G18" s="71"/>
      <c r="H18" s="71"/>
      <c r="I18" s="71"/>
    </row>
    <row r="19" spans="1:9" s="86" customFormat="1" ht="13.5" customHeight="1">
      <c r="A19" s="91"/>
      <c r="B19" s="98" t="s">
        <v>117</v>
      </c>
      <c r="C19" s="93">
        <f>49226058930+686267099+1026207211+976918772+148226041</f>
        <v>52063678053</v>
      </c>
      <c r="D19" s="99">
        <f>49226058930+686267099+1026207211+693728913+148226041</f>
        <v>51780488194</v>
      </c>
      <c r="E19" s="71"/>
      <c r="F19" s="71"/>
      <c r="G19" s="71"/>
      <c r="H19" s="71"/>
      <c r="I19" s="71"/>
    </row>
    <row r="20" spans="1:9" s="86" customFormat="1" ht="13.5" customHeight="1">
      <c r="A20" s="91"/>
      <c r="B20" s="100" t="s">
        <v>118</v>
      </c>
      <c r="C20" s="101">
        <v>-15062507095</v>
      </c>
      <c r="D20" s="102">
        <v>-12714987400</v>
      </c>
      <c r="E20" s="71"/>
      <c r="F20" s="71"/>
      <c r="G20" s="71"/>
      <c r="H20" s="71"/>
      <c r="I20" s="71"/>
    </row>
    <row r="21" spans="1:9" s="86" customFormat="1" ht="13.5" customHeight="1">
      <c r="A21" s="91"/>
      <c r="B21" s="98" t="s">
        <v>119</v>
      </c>
      <c r="C21" s="93">
        <v>19520295963</v>
      </c>
      <c r="D21" s="93">
        <v>19520295963</v>
      </c>
      <c r="E21" s="71"/>
      <c r="F21" s="71"/>
      <c r="G21" s="71"/>
      <c r="H21" s="71"/>
      <c r="I21" s="71"/>
    </row>
    <row r="22" spans="1:9" s="86" customFormat="1" ht="13.5" customHeight="1">
      <c r="A22" s="91"/>
      <c r="B22" s="100" t="s">
        <v>120</v>
      </c>
      <c r="C22" s="103">
        <v>-2928044394</v>
      </c>
      <c r="D22" s="104">
        <v>-1952029596</v>
      </c>
      <c r="E22" s="71"/>
      <c r="F22" s="71"/>
      <c r="G22" s="71"/>
      <c r="H22" s="71"/>
      <c r="I22" s="71"/>
    </row>
    <row r="23" spans="1:9" s="107" customFormat="1" ht="13.5" customHeight="1">
      <c r="A23" s="105">
        <v>2</v>
      </c>
      <c r="B23" s="98" t="s">
        <v>121</v>
      </c>
      <c r="C23" s="93">
        <f>211165450000+183076742466+127057000000+38420000000+10968625000-120000000</f>
        <v>570567817466</v>
      </c>
      <c r="D23" s="99">
        <v>316605353761</v>
      </c>
      <c r="E23" s="106"/>
      <c r="F23" s="106"/>
      <c r="G23" s="106"/>
      <c r="H23" s="106"/>
      <c r="I23" s="106"/>
    </row>
    <row r="24" spans="1:9" s="107" customFormat="1" ht="13.5" customHeight="1">
      <c r="A24" s="105">
        <v>3</v>
      </c>
      <c r="B24" s="98" t="s">
        <v>122</v>
      </c>
      <c r="C24" s="108">
        <f>273058570+11185878</f>
        <v>284244448</v>
      </c>
      <c r="D24" s="99">
        <f>11185878+43860000</f>
        <v>55045878</v>
      </c>
      <c r="E24" s="106"/>
      <c r="F24" s="106"/>
      <c r="G24" s="106"/>
      <c r="H24" s="106"/>
      <c r="I24" s="106"/>
    </row>
    <row r="25" spans="1:9" s="107" customFormat="1" ht="13.5" customHeight="1">
      <c r="A25" s="109">
        <v>4</v>
      </c>
      <c r="B25" s="98" t="s">
        <v>123</v>
      </c>
      <c r="C25" s="93">
        <v>2265110043</v>
      </c>
      <c r="D25" s="99">
        <v>2265110043</v>
      </c>
      <c r="E25" s="106"/>
      <c r="F25" s="106"/>
      <c r="G25" s="106"/>
      <c r="H25" s="106"/>
      <c r="I25" s="106"/>
    </row>
    <row r="26" spans="1:9" s="86" customFormat="1" ht="13.5" customHeight="1">
      <c r="A26" s="91">
        <v>5</v>
      </c>
      <c r="B26" s="98" t="s">
        <v>124</v>
      </c>
      <c r="C26" s="93">
        <v>4417232202</v>
      </c>
      <c r="D26" s="99">
        <v>0</v>
      </c>
      <c r="E26" s="71"/>
      <c r="F26" s="71"/>
      <c r="G26" s="71"/>
      <c r="H26" s="71"/>
      <c r="I26" s="71"/>
    </row>
    <row r="27" spans="1:9" s="86" customFormat="1" ht="13.5" customHeight="1">
      <c r="A27" s="110">
        <v>6</v>
      </c>
      <c r="B27" s="111" t="s">
        <v>125</v>
      </c>
      <c r="C27" s="93">
        <v>0</v>
      </c>
      <c r="D27" s="112">
        <v>0</v>
      </c>
      <c r="E27" s="71"/>
      <c r="F27" s="71"/>
      <c r="G27" s="71"/>
      <c r="H27" s="71"/>
      <c r="I27" s="71"/>
    </row>
    <row r="28" spans="1:9" s="116" customFormat="1" ht="18" customHeight="1">
      <c r="A28" s="113" t="s">
        <v>126</v>
      </c>
      <c r="B28" s="84" t="s">
        <v>127</v>
      </c>
      <c r="C28" s="114">
        <f>SUM(C17,C11)</f>
        <v>1215049162902</v>
      </c>
      <c r="D28" s="114">
        <f>SUM(D17,D11)</f>
        <v>894726010708</v>
      </c>
      <c r="E28" s="115"/>
      <c r="F28" s="90"/>
      <c r="G28" s="90"/>
      <c r="H28" s="90"/>
      <c r="I28" s="90"/>
    </row>
    <row r="29" spans="1:9" s="86" customFormat="1" ht="15.75" customHeight="1">
      <c r="A29" s="117" t="s">
        <v>128</v>
      </c>
      <c r="B29" s="118" t="s">
        <v>129</v>
      </c>
      <c r="C29" s="119">
        <f>SUM(C30:C32)</f>
        <v>601079992524</v>
      </c>
      <c r="D29" s="119">
        <f>SUM(D30:D32)</f>
        <v>461269436734</v>
      </c>
      <c r="E29" s="120" t="s">
        <v>100</v>
      </c>
      <c r="F29" s="71"/>
      <c r="G29" s="71"/>
      <c r="H29" s="71"/>
      <c r="I29" s="71"/>
    </row>
    <row r="30" spans="1:9" s="86" customFormat="1" ht="13.5" customHeight="1">
      <c r="A30" s="91">
        <v>1</v>
      </c>
      <c r="B30" s="98" t="s">
        <v>130</v>
      </c>
      <c r="C30" s="121">
        <f>97908761135+192940762023+214099364+2305088588+1298415154+2483608660+346216914+464462996+2343217+5564080342+7461388261+113702875</f>
        <v>311102929529</v>
      </c>
      <c r="D30" s="122">
        <f>'[2]Bang CDKT theo chuan muc'!D64+'[2]Bang CDKT theo chuan muc'!D69+'[2]Bang CDKT theo chuan muc'!D70+'[2]Bang CDKT theo chuan muc'!D71+'[2]Bang CDKT theo chuan muc'!D72</f>
        <v>225525634379</v>
      </c>
      <c r="E30" s="120" t="s">
        <v>100</v>
      </c>
      <c r="F30" s="71"/>
      <c r="G30" s="71"/>
      <c r="H30" s="71"/>
      <c r="I30" s="71"/>
    </row>
    <row r="31" spans="1:9" s="86" customFormat="1" ht="13.5" customHeight="1">
      <c r="A31" s="91">
        <v>2</v>
      </c>
      <c r="B31" s="98" t="s">
        <v>131</v>
      </c>
      <c r="C31" s="123">
        <v>289501809036</v>
      </c>
      <c r="D31" s="124">
        <f>'[2]Bang CDKT theo chuan muc'!D74</f>
        <v>235703473648</v>
      </c>
      <c r="E31" s="71"/>
      <c r="F31" s="71"/>
      <c r="G31" s="71"/>
      <c r="H31" s="71"/>
      <c r="I31" s="71"/>
    </row>
    <row r="32" spans="1:9" s="86" customFormat="1" ht="13.5" customHeight="1">
      <c r="A32" s="91">
        <v>3</v>
      </c>
      <c r="B32" s="98" t="s">
        <v>132</v>
      </c>
      <c r="C32" s="26">
        <f>70816793+404437166</f>
        <v>475253959</v>
      </c>
      <c r="D32" s="125">
        <v>40328707</v>
      </c>
      <c r="E32" s="71"/>
      <c r="F32" s="71"/>
      <c r="G32" s="71"/>
      <c r="H32" s="71"/>
      <c r="I32" s="71"/>
    </row>
    <row r="33" spans="1:9" s="86" customFormat="1" ht="14.25" customHeight="1">
      <c r="A33" s="95" t="s">
        <v>133</v>
      </c>
      <c r="B33" s="96" t="s">
        <v>134</v>
      </c>
      <c r="C33" s="97">
        <f>SUM(C34,C41)</f>
        <v>613969170378</v>
      </c>
      <c r="D33" s="97">
        <f>SUM(D34+D41)</f>
        <v>413456573974</v>
      </c>
      <c r="E33" s="71"/>
      <c r="F33" s="71"/>
      <c r="G33" s="71"/>
      <c r="H33" s="71"/>
      <c r="I33" s="71"/>
    </row>
    <row r="34" spans="1:9" s="86" customFormat="1" ht="13.5" customHeight="1">
      <c r="A34" s="91">
        <v>1</v>
      </c>
      <c r="B34" s="92" t="s">
        <v>135</v>
      </c>
      <c r="C34" s="93">
        <f>SUM(C35:C41)</f>
        <v>613969170378</v>
      </c>
      <c r="D34" s="126">
        <f>SUM(D35:D39)</f>
        <v>413456573974</v>
      </c>
      <c r="E34" s="71"/>
      <c r="F34" s="71"/>
      <c r="G34" s="71"/>
      <c r="H34" s="71"/>
      <c r="I34" s="71"/>
    </row>
    <row r="35" spans="1:9" s="86" customFormat="1" ht="13.5" customHeight="1">
      <c r="A35" s="91"/>
      <c r="B35" s="92" t="s">
        <v>136</v>
      </c>
      <c r="C35" s="94">
        <f>504138300000</f>
        <v>504138300000</v>
      </c>
      <c r="D35" s="126">
        <v>343000000000</v>
      </c>
      <c r="E35" s="71"/>
      <c r="F35" s="120" t="s">
        <v>100</v>
      </c>
      <c r="G35" s="71"/>
      <c r="H35" s="71"/>
      <c r="I35" s="71"/>
    </row>
    <row r="36" spans="1:9" s="86" customFormat="1" ht="13.5" customHeight="1">
      <c r="A36" s="91"/>
      <c r="B36" s="127" t="s">
        <v>137</v>
      </c>
      <c r="C36" s="94">
        <v>0</v>
      </c>
      <c r="D36" s="126">
        <v>0</v>
      </c>
      <c r="E36" s="71"/>
      <c r="F36" s="71"/>
      <c r="G36" s="71"/>
      <c r="H36" s="71"/>
      <c r="I36" s="71"/>
    </row>
    <row r="37" spans="1:9" s="86" customFormat="1" ht="13.5" customHeight="1">
      <c r="A37" s="91"/>
      <c r="B37" s="92" t="s">
        <v>138</v>
      </c>
      <c r="C37" s="94">
        <v>45515630000</v>
      </c>
      <c r="D37" s="126">
        <v>0</v>
      </c>
      <c r="E37" s="120"/>
      <c r="F37" s="71"/>
      <c r="G37" s="71"/>
      <c r="H37" s="71"/>
      <c r="I37" s="71"/>
    </row>
    <row r="38" spans="1:9" s="86" customFormat="1" ht="13.5" customHeight="1">
      <c r="A38" s="110"/>
      <c r="B38" s="128" t="s">
        <v>139</v>
      </c>
      <c r="C38" s="94">
        <f>3467786992+17338934956+8669467479+1930122430+18360890</f>
        <v>31424672747</v>
      </c>
      <c r="D38" s="129">
        <f>'[2]Bang CDKT theo chuan muc'!D87+'[2]Bang CDKT theo chuan muc'!D88+'[2]Bang CDKT theo chuan muc'!D89+'[2]Bang CDKT theo chuan muc'!D93</f>
        <v>19966416953</v>
      </c>
      <c r="E38" s="120"/>
      <c r="F38" s="120"/>
      <c r="G38" s="71"/>
      <c r="H38" s="71"/>
      <c r="I38" s="71"/>
    </row>
    <row r="39" spans="1:9" s="86" customFormat="1" ht="13.5" customHeight="1">
      <c r="A39" s="110"/>
      <c r="B39" s="128" t="s">
        <v>140</v>
      </c>
      <c r="C39" s="94">
        <f>74843162864-41952595233-C40</f>
        <v>29166637499</v>
      </c>
      <c r="D39" s="129">
        <f>'[2]Bang CDKT theo chuan muc'!D90+'[2]Bang CDKT theo chuan muc'!D91</f>
        <v>50490157021</v>
      </c>
      <c r="E39" s="71"/>
      <c r="F39" s="120"/>
      <c r="G39" s="71"/>
      <c r="H39" s="71"/>
      <c r="I39" s="71"/>
    </row>
    <row r="40" spans="1:9" s="86" customFormat="1" ht="13.5" customHeight="1">
      <c r="A40" s="110"/>
      <c r="B40" s="130" t="s">
        <v>141</v>
      </c>
      <c r="C40" s="131">
        <f>'[2]Bang CDKT theo chuan muc'!C91</f>
        <v>3723930132</v>
      </c>
      <c r="D40" s="129">
        <f>'[2]Bang CDKT theo chuan muc'!D91</f>
        <v>3318860291</v>
      </c>
      <c r="E40" s="71"/>
      <c r="F40" s="120"/>
      <c r="G40" s="71"/>
      <c r="H40" s="71"/>
      <c r="I40" s="71"/>
    </row>
    <row r="41" spans="1:9" s="86" customFormat="1" ht="13.5" customHeight="1">
      <c r="A41" s="110">
        <v>2</v>
      </c>
      <c r="B41" s="128" t="s">
        <v>142</v>
      </c>
      <c r="C41" s="132">
        <v>0</v>
      </c>
      <c r="D41" s="133">
        <v>0</v>
      </c>
      <c r="E41" s="71"/>
      <c r="F41" s="120"/>
      <c r="G41" s="71"/>
      <c r="H41" s="71"/>
      <c r="I41" s="71"/>
    </row>
    <row r="42" spans="1:9" s="86" customFormat="1" ht="20.25" customHeight="1">
      <c r="A42" s="134" t="s">
        <v>143</v>
      </c>
      <c r="B42" s="135" t="s">
        <v>144</v>
      </c>
      <c r="C42" s="136">
        <f>SUM(C33,C29,)</f>
        <v>1215049162902</v>
      </c>
      <c r="D42" s="136">
        <f>SUM(D33,D29,)</f>
        <v>874726010708</v>
      </c>
      <c r="E42" s="120"/>
      <c r="F42" s="120"/>
      <c r="G42" s="71"/>
      <c r="H42" s="71"/>
      <c r="I42" s="71"/>
    </row>
    <row r="43" spans="1:6" s="71" customFormat="1" ht="13.5" customHeight="1">
      <c r="A43" s="137"/>
      <c r="B43" s="138"/>
      <c r="C43" s="139"/>
      <c r="D43" s="139"/>
      <c r="E43" s="120"/>
      <c r="F43" s="120"/>
    </row>
    <row r="44" spans="1:9" ht="13.5" customHeight="1">
      <c r="A44" s="80" t="s">
        <v>145</v>
      </c>
      <c r="B44" s="80"/>
      <c r="C44" s="80"/>
      <c r="D44" s="80"/>
      <c r="E44" s="120"/>
      <c r="F44" s="120"/>
      <c r="G44" s="71"/>
      <c r="H44" s="71"/>
      <c r="I44" s="71"/>
    </row>
    <row r="45" spans="3:9" ht="4.5" customHeight="1">
      <c r="C45" s="140" t="s">
        <v>146</v>
      </c>
      <c r="D45" s="140"/>
      <c r="E45" s="71"/>
      <c r="F45" s="71"/>
      <c r="G45" s="71"/>
      <c r="H45" s="71"/>
      <c r="I45" s="71"/>
    </row>
    <row r="46" spans="1:9" ht="18" customHeight="1">
      <c r="A46" s="141" t="s">
        <v>103</v>
      </c>
      <c r="B46" s="142" t="s">
        <v>3</v>
      </c>
      <c r="C46" s="143" t="s">
        <v>147</v>
      </c>
      <c r="D46" s="143" t="s">
        <v>148</v>
      </c>
      <c r="E46" s="71"/>
      <c r="F46" s="71"/>
      <c r="G46" s="71"/>
      <c r="H46" s="71"/>
      <c r="I46" s="71"/>
    </row>
    <row r="47" spans="1:9" ht="13.5" customHeight="1">
      <c r="A47" s="144">
        <v>1</v>
      </c>
      <c r="B47" s="145" t="s">
        <v>149</v>
      </c>
      <c r="C47" s="146">
        <v>931152518360</v>
      </c>
      <c r="D47" s="146">
        <f>SUM(D48:D50)</f>
        <v>364296871079</v>
      </c>
      <c r="E47" s="120"/>
      <c r="F47" s="71"/>
      <c r="G47" s="71"/>
      <c r="H47" s="71"/>
      <c r="I47" s="71"/>
    </row>
    <row r="48" spans="1:9" ht="13.5" customHeight="1">
      <c r="A48" s="91"/>
      <c r="B48" s="147" t="s">
        <v>150</v>
      </c>
      <c r="C48" s="148">
        <v>875555172972</v>
      </c>
      <c r="D48" s="148">
        <f>'[2]Bao cao lai lo'!D6-'[2]Bao cao lai lo'!D9+'[2]Bao cao lai lo'!D11-'[2]Bao cao lai lo'!D10+'[2]Bao cao lai lo'!D12-'[2]Lai lo q4'!H9</f>
        <v>306546576319</v>
      </c>
      <c r="E48" s="71"/>
      <c r="F48" s="71"/>
      <c r="G48" s="71"/>
      <c r="H48" s="71"/>
      <c r="I48" s="71"/>
    </row>
    <row r="49" spans="1:9" ht="13.5" customHeight="1">
      <c r="A49" s="91"/>
      <c r="B49" s="147" t="s">
        <v>151</v>
      </c>
      <c r="C49" s="148">
        <v>55538701024</v>
      </c>
      <c r="D49" s="148">
        <f>'[2]Bao cao lai lo'!D32</f>
        <v>48383478866</v>
      </c>
      <c r="E49" s="71"/>
      <c r="F49" s="71"/>
      <c r="G49" s="71"/>
      <c r="H49" s="71"/>
      <c r="I49" s="71"/>
    </row>
    <row r="50" spans="1:9" ht="13.5" customHeight="1">
      <c r="A50" s="91"/>
      <c r="B50" s="147" t="s">
        <v>152</v>
      </c>
      <c r="C50" s="148">
        <v>58644364</v>
      </c>
      <c r="D50" s="148">
        <f>'[2]Bao cao lai lo'!D35</f>
        <v>9366815894</v>
      </c>
      <c r="E50" s="71"/>
      <c r="F50" s="71"/>
      <c r="G50" s="71"/>
      <c r="H50" s="71"/>
      <c r="I50" s="71"/>
    </row>
    <row r="51" spans="1:9" ht="13.5" customHeight="1">
      <c r="A51" s="91">
        <v>2</v>
      </c>
      <c r="B51" s="149" t="s">
        <v>153</v>
      </c>
      <c r="C51" s="150">
        <v>859635720601.46</v>
      </c>
      <c r="D51" s="150">
        <f>SUM(D52:D54)</f>
        <v>280704728670</v>
      </c>
      <c r="E51" s="71"/>
      <c r="F51" s="71"/>
      <c r="G51" s="71"/>
      <c r="H51" s="71"/>
      <c r="I51" s="71"/>
    </row>
    <row r="52" spans="1:9" ht="13.5" customHeight="1">
      <c r="A52" s="91"/>
      <c r="B52" s="147" t="s">
        <v>154</v>
      </c>
      <c r="C52" s="148">
        <v>839907708541.46</v>
      </c>
      <c r="D52" s="148">
        <f>'[2]Bao cao lai lo'!D20+'[2]Bao cao lai lo'!D21+'[2]Bao cao lai lo'!D22+'[2]Bao cao lai lo'!D18</f>
        <v>257119100087</v>
      </c>
      <c r="E52" s="71"/>
      <c r="F52" s="71"/>
      <c r="G52" s="71"/>
      <c r="H52" s="71"/>
      <c r="I52" s="71"/>
    </row>
    <row r="53" spans="1:9" ht="13.5" customHeight="1">
      <c r="A53" s="91"/>
      <c r="B53" s="147" t="s">
        <v>155</v>
      </c>
      <c r="C53" s="148">
        <v>19728012060</v>
      </c>
      <c r="D53" s="148">
        <f>'[2]Bao cao lai lo'!D30-'[2]Bao cao lai lo'!D29+'[2]Bao cao lai lo'!D33</f>
        <v>23585628583</v>
      </c>
      <c r="E53" s="151"/>
      <c r="F53" s="71"/>
      <c r="G53" s="71"/>
      <c r="H53" s="71"/>
      <c r="I53" s="71"/>
    </row>
    <row r="54" spans="1:9" ht="13.5" customHeight="1">
      <c r="A54" s="91"/>
      <c r="B54" s="147" t="s">
        <v>156</v>
      </c>
      <c r="C54" s="148">
        <v>0</v>
      </c>
      <c r="D54" s="148">
        <f>'[2]Bao cao lai lo'!D36</f>
        <v>0</v>
      </c>
      <c r="E54" s="71"/>
      <c r="F54" s="71"/>
      <c r="G54" s="71"/>
      <c r="H54" s="71"/>
      <c r="I54" s="71"/>
    </row>
    <row r="55" spans="1:9" ht="13.5" customHeight="1">
      <c r="A55" s="91">
        <v>3</v>
      </c>
      <c r="B55" s="149" t="s">
        <v>157</v>
      </c>
      <c r="C55" s="150">
        <v>71516797758.54004</v>
      </c>
      <c r="D55" s="150">
        <f>D47-D51</f>
        <v>83592142409</v>
      </c>
      <c r="E55" s="120">
        <f>D55-'[2]Bao cao lai lo'!D41</f>
        <v>0</v>
      </c>
      <c r="F55" s="71"/>
      <c r="G55" s="71"/>
      <c r="H55" s="71"/>
      <c r="I55" s="71"/>
    </row>
    <row r="56" spans="1:9" ht="13.5" customHeight="1">
      <c r="A56" s="91">
        <v>4</v>
      </c>
      <c r="B56" s="149" t="s">
        <v>158</v>
      </c>
      <c r="C56" s="150">
        <v>11048649516</v>
      </c>
      <c r="D56" s="150">
        <f>'[2]Bao cao lai lo'!D43+'[2]Bao cao lai lo'!D44</f>
        <v>10428612536.000002</v>
      </c>
      <c r="E56" s="71"/>
      <c r="F56" s="71"/>
      <c r="G56" s="71"/>
      <c r="H56" s="71"/>
      <c r="I56" s="71"/>
    </row>
    <row r="57" spans="1:9" ht="13.5" customHeight="1">
      <c r="A57" s="91">
        <v>5</v>
      </c>
      <c r="B57" s="149" t="s">
        <v>159</v>
      </c>
      <c r="C57" s="150">
        <v>60468148242.54004</v>
      </c>
      <c r="D57" s="150">
        <f>D55-D56</f>
        <v>73163529873</v>
      </c>
      <c r="E57" s="71"/>
      <c r="F57" s="71"/>
      <c r="G57" s="71"/>
      <c r="H57" s="71"/>
      <c r="I57" s="71"/>
    </row>
    <row r="58" spans="1:9" ht="13.5" customHeight="1">
      <c r="A58" s="91">
        <v>6</v>
      </c>
      <c r="B58" s="149" t="s">
        <v>160</v>
      </c>
      <c r="C58" s="152">
        <v>1762.9197738349865</v>
      </c>
      <c r="D58" s="152">
        <v>0</v>
      </c>
      <c r="E58" s="71"/>
      <c r="F58" s="71"/>
      <c r="G58" s="71"/>
      <c r="H58" s="71"/>
      <c r="I58" s="71"/>
    </row>
    <row r="59" spans="1:9" ht="13.5" customHeight="1">
      <c r="A59" s="153">
        <v>7</v>
      </c>
      <c r="B59" s="154" t="s">
        <v>161</v>
      </c>
      <c r="C59" s="155">
        <v>1300</v>
      </c>
      <c r="D59" s="155">
        <v>0</v>
      </c>
      <c r="E59" s="71"/>
      <c r="F59" s="71"/>
      <c r="G59" s="71"/>
      <c r="H59" s="71"/>
      <c r="I59" s="71"/>
    </row>
    <row r="60" spans="5:9" ht="2.25" customHeight="1">
      <c r="E60" s="71"/>
      <c r="F60" s="71"/>
      <c r="G60" s="71"/>
      <c r="H60" s="71"/>
      <c r="I60" s="71"/>
    </row>
    <row r="61" spans="1:9" ht="15" customHeight="1">
      <c r="A61" s="72" t="s">
        <v>162</v>
      </c>
      <c r="B61" s="156" t="s">
        <v>163</v>
      </c>
      <c r="D61" s="156"/>
      <c r="E61" s="71"/>
      <c r="F61" s="71"/>
      <c r="G61" s="71"/>
      <c r="H61" s="71"/>
      <c r="I61" s="71"/>
    </row>
    <row r="62" spans="3:9" ht="15.75" customHeight="1">
      <c r="C62" s="157" t="s">
        <v>164</v>
      </c>
      <c r="D62" s="157"/>
      <c r="E62" s="71"/>
      <c r="F62" s="71"/>
      <c r="G62" s="71"/>
      <c r="H62" s="71"/>
      <c r="I62" s="71"/>
    </row>
    <row r="63" spans="5:9" ht="12.75">
      <c r="E63" s="71"/>
      <c r="F63" s="71"/>
      <c r="G63" s="71"/>
      <c r="H63" s="71"/>
      <c r="I63" s="71"/>
    </row>
    <row r="64" spans="5:9" ht="12.75">
      <c r="E64" s="71"/>
      <c r="F64" s="71"/>
      <c r="G64" s="71"/>
      <c r="H64" s="71"/>
      <c r="I64" s="71"/>
    </row>
    <row r="65" spans="5:9" ht="26.25" customHeight="1">
      <c r="E65" s="71"/>
      <c r="F65" s="71"/>
      <c r="G65" s="71"/>
      <c r="H65" s="71"/>
      <c r="I65" s="71"/>
    </row>
    <row r="66" spans="5:9" ht="12.75">
      <c r="E66" s="71"/>
      <c r="F66" s="71"/>
      <c r="G66" s="71"/>
      <c r="H66" s="71"/>
      <c r="I66" s="71"/>
    </row>
    <row r="67" spans="5:9" ht="12.75">
      <c r="E67" s="71"/>
      <c r="F67" s="71"/>
      <c r="G67" s="71"/>
      <c r="H67" s="71"/>
      <c r="I67" s="71"/>
    </row>
    <row r="68" spans="5:9" ht="12.75">
      <c r="E68" s="71"/>
      <c r="F68" s="71"/>
      <c r="G68" s="71"/>
      <c r="H68" s="71"/>
      <c r="I68" s="71"/>
    </row>
  </sheetData>
  <mergeCells count="7">
    <mergeCell ref="A44:D44"/>
    <mergeCell ref="C45:D45"/>
    <mergeCell ref="C62:D62"/>
    <mergeCell ref="A3:D3"/>
    <mergeCell ref="A4:D4"/>
    <mergeCell ref="A5:D5"/>
    <mergeCell ref="A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7">
      <selection activeCell="A20" sqref="A20"/>
    </sheetView>
  </sheetViews>
  <sheetFormatPr defaultColWidth="9.140625" defaultRowHeight="12.75"/>
  <cols>
    <col min="1" max="1" width="57.00390625" style="0" customWidth="1"/>
    <col min="2" max="2" width="5.7109375" style="0" customWidth="1"/>
    <col min="3" max="3" width="4.8515625" style="0" customWidth="1"/>
    <col min="4" max="4" width="19.7109375" style="199" customWidth="1"/>
    <col min="5" max="5" width="19.140625" style="3" customWidth="1"/>
    <col min="6" max="6" width="18.140625" style="0" customWidth="1"/>
  </cols>
  <sheetData>
    <row r="1" spans="1:4" ht="15">
      <c r="A1" s="1"/>
      <c r="B1" s="1"/>
      <c r="C1" s="1"/>
      <c r="D1" s="158"/>
    </row>
    <row r="2" spans="1:4" ht="21">
      <c r="A2" s="159" t="s">
        <v>165</v>
      </c>
      <c r="B2" s="159"/>
      <c r="C2" s="159"/>
      <c r="D2" s="159"/>
    </row>
    <row r="3" spans="1:4" ht="15">
      <c r="A3" s="160" t="s">
        <v>166</v>
      </c>
      <c r="B3" s="160"/>
      <c r="C3" s="160"/>
      <c r="D3" s="160"/>
    </row>
    <row r="4" spans="1:4" ht="15">
      <c r="A4" s="161" t="s">
        <v>167</v>
      </c>
      <c r="B4" s="161"/>
      <c r="C4" s="161"/>
      <c r="D4" s="161"/>
    </row>
    <row r="5" spans="1:4" ht="16.5">
      <c r="A5" s="162"/>
      <c r="B5" s="162"/>
      <c r="C5" s="162"/>
      <c r="D5" s="162"/>
    </row>
    <row r="6" spans="1:4" ht="15">
      <c r="A6" s="1"/>
      <c r="B6" s="1"/>
      <c r="C6" s="1"/>
      <c r="D6" s="7" t="s">
        <v>168</v>
      </c>
    </row>
    <row r="7" spans="1:5" ht="21" customHeight="1">
      <c r="A7" s="163" t="s">
        <v>3</v>
      </c>
      <c r="B7" s="163" t="s">
        <v>169</v>
      </c>
      <c r="C7" s="163" t="s">
        <v>170</v>
      </c>
      <c r="D7" s="164" t="s">
        <v>171</v>
      </c>
      <c r="E7" s="164">
        <v>2006</v>
      </c>
    </row>
    <row r="8" spans="1:5" s="72" customFormat="1" ht="21" customHeight="1">
      <c r="A8" s="165" t="s">
        <v>172</v>
      </c>
      <c r="B8" s="166">
        <v>2</v>
      </c>
      <c r="C8" s="166">
        <v>3</v>
      </c>
      <c r="D8" s="167">
        <v>4</v>
      </c>
      <c r="E8" s="167">
        <v>5</v>
      </c>
    </row>
    <row r="9" spans="1:5" ht="23.25" customHeight="1">
      <c r="A9" s="168" t="s">
        <v>173</v>
      </c>
      <c r="B9" s="169"/>
      <c r="C9" s="169"/>
      <c r="D9" s="170"/>
      <c r="E9" s="171"/>
    </row>
    <row r="10" spans="1:5" ht="14.25">
      <c r="A10" s="172" t="s">
        <v>174</v>
      </c>
      <c r="B10" s="173" t="s">
        <v>175</v>
      </c>
      <c r="C10" s="173"/>
      <c r="D10" s="174">
        <f>SUM('[2]TK1111'!C18,'[2]TK1121'!C47,'[2]TK1122'!D44)</f>
        <v>406006039451</v>
      </c>
      <c r="E10" s="175">
        <v>502989730104</v>
      </c>
    </row>
    <row r="11" spans="1:5" ht="14.25">
      <c r="A11" s="176" t="s">
        <v>176</v>
      </c>
      <c r="B11" s="173" t="s">
        <v>15</v>
      </c>
      <c r="C11" s="173"/>
      <c r="D11" s="174">
        <f>-SUM('[2]TK1111'!F43,'[2]TK1121'!F72,'[2]TK1122'!G38)</f>
        <v>-393511348500</v>
      </c>
      <c r="E11" s="175">
        <v>-478634594692</v>
      </c>
    </row>
    <row r="12" spans="1:5" ht="14.25">
      <c r="A12" s="172" t="s">
        <v>177</v>
      </c>
      <c r="B12" s="173" t="s">
        <v>17</v>
      </c>
      <c r="C12" s="173"/>
      <c r="D12" s="174">
        <f>-SUM('[2]TK1111'!F55,'[2]TK1121'!F98)</f>
        <v>-11194816316</v>
      </c>
      <c r="E12" s="175">
        <v>-7856860463</v>
      </c>
    </row>
    <row r="13" spans="1:5" ht="14.25">
      <c r="A13" s="172" t="s">
        <v>178</v>
      </c>
      <c r="B13" s="173" t="s">
        <v>179</v>
      </c>
      <c r="C13" s="173"/>
      <c r="D13" s="174">
        <f>-SUM('[2]TK1111'!F59,'[2]TK1121'!F106,'[2]TK1122'!G41-'[2]TK1121'!C59-'[2]TK1111'!C28)</f>
        <v>-12664476185</v>
      </c>
      <c r="E13" s="175">
        <v>-17271074260</v>
      </c>
    </row>
    <row r="14" spans="1:5" ht="14.25">
      <c r="A14" s="172" t="s">
        <v>180</v>
      </c>
      <c r="B14" s="173" t="s">
        <v>21</v>
      </c>
      <c r="C14" s="173"/>
      <c r="D14" s="174">
        <f>SUM('[2]TK1111'!C33,'[2]TK1121'!C55,'[2]TK1122'!D51)-D27</f>
        <v>50480604423</v>
      </c>
      <c r="E14" s="175">
        <v>24272133520</v>
      </c>
    </row>
    <row r="15" spans="1:5" ht="14.25">
      <c r="A15" s="172" t="s">
        <v>181</v>
      </c>
      <c r="B15" s="173" t="s">
        <v>182</v>
      </c>
      <c r="C15" s="173"/>
      <c r="D15" s="174">
        <f>-SUM('[2]TK1111'!F18,'[2]TK1121'!F22,'[2]TK1122'!G45)</f>
        <v>-8686653930</v>
      </c>
      <c r="E15" s="175">
        <v>-14562122838</v>
      </c>
    </row>
    <row r="16" spans="1:5" ht="15.75">
      <c r="A16" s="177" t="s">
        <v>183</v>
      </c>
      <c r="B16" s="178" t="s">
        <v>184</v>
      </c>
      <c r="C16" s="179"/>
      <c r="D16" s="180">
        <f>SUM(D10:D15)</f>
        <v>30429348943</v>
      </c>
      <c r="E16" s="180">
        <v>9114389723</v>
      </c>
    </row>
    <row r="17" spans="1:5" ht="21.75" customHeight="1">
      <c r="A17" s="181" t="s">
        <v>185</v>
      </c>
      <c r="B17" s="173"/>
      <c r="C17" s="173"/>
      <c r="D17" s="174"/>
      <c r="E17" s="175"/>
    </row>
    <row r="18" spans="1:5" ht="14.25">
      <c r="A18" s="172" t="s">
        <v>186</v>
      </c>
      <c r="B18" s="173" t="s">
        <v>39</v>
      </c>
      <c r="C18" s="173"/>
      <c r="D18" s="174">
        <f>-SUM('[2]TK1121'!F12)</f>
        <v>-501488429</v>
      </c>
      <c r="E18" s="175">
        <v>-221038352</v>
      </c>
    </row>
    <row r="19" spans="1:5" ht="14.25">
      <c r="A19" s="172" t="s">
        <v>187</v>
      </c>
      <c r="B19" s="173" t="s">
        <v>41</v>
      </c>
      <c r="C19" s="173"/>
      <c r="D19" s="174">
        <v>0</v>
      </c>
      <c r="E19" s="175">
        <v>0</v>
      </c>
    </row>
    <row r="20" spans="1:5" ht="14.25">
      <c r="A20" s="172" t="s">
        <v>188</v>
      </c>
      <c r="B20" s="173" t="s">
        <v>43</v>
      </c>
      <c r="C20" s="173"/>
      <c r="D20" s="174">
        <v>0</v>
      </c>
      <c r="E20" s="175">
        <v>0</v>
      </c>
    </row>
    <row r="21" spans="1:5" ht="14.25">
      <c r="A21" s="172" t="s">
        <v>189</v>
      </c>
      <c r="B21" s="173" t="s">
        <v>45</v>
      </c>
      <c r="C21" s="173"/>
      <c r="D21" s="174">
        <f>SUM('[2]TK1111'!C23,'[2]TK1121'!C81)</f>
        <v>530661295</v>
      </c>
      <c r="E21" s="175">
        <v>452943536</v>
      </c>
    </row>
    <row r="22" spans="1:5" ht="14.25">
      <c r="A22" s="172" t="s">
        <v>190</v>
      </c>
      <c r="B22" s="173" t="s">
        <v>47</v>
      </c>
      <c r="C22" s="173"/>
      <c r="D22" s="174">
        <f>-SUM('[2]TK1121'!F86,'[2]TK1122'!G47)-7404275350</f>
        <v>-423368550700</v>
      </c>
      <c r="E22" s="175">
        <v>-97108978291</v>
      </c>
    </row>
    <row r="23" spans="1:5" ht="14.25">
      <c r="A23" s="172" t="s">
        <v>191</v>
      </c>
      <c r="B23" s="173" t="s">
        <v>192</v>
      </c>
      <c r="C23" s="173"/>
      <c r="D23" s="174">
        <f>'[2]TK1121'!C78</f>
        <v>217000000000</v>
      </c>
      <c r="E23" s="175">
        <v>46160000000</v>
      </c>
    </row>
    <row r="24" spans="1:5" ht="14.25">
      <c r="A24" s="172" t="s">
        <v>193</v>
      </c>
      <c r="B24" s="173" t="s">
        <v>194</v>
      </c>
      <c r="C24" s="173"/>
      <c r="D24" s="174">
        <f>SUM('[2]TK1111'!C13,'[2]TK1121'!C68,'[2]TK1122'!D48)</f>
        <v>46713289158</v>
      </c>
      <c r="E24" s="175">
        <v>46517514426</v>
      </c>
    </row>
    <row r="25" spans="1:5" ht="15.75">
      <c r="A25" s="177" t="s">
        <v>195</v>
      </c>
      <c r="B25" s="178" t="s">
        <v>196</v>
      </c>
      <c r="C25" s="179"/>
      <c r="D25" s="180">
        <f>SUM(D18:D24)</f>
        <v>-159626088676</v>
      </c>
      <c r="E25" s="180">
        <v>-4199558681</v>
      </c>
    </row>
    <row r="26" spans="1:5" ht="21.75" customHeight="1">
      <c r="A26" s="181" t="s">
        <v>197</v>
      </c>
      <c r="B26" s="173"/>
      <c r="C26" s="173"/>
      <c r="D26" s="174"/>
      <c r="E26" s="175"/>
    </row>
    <row r="27" spans="1:5" ht="14.25">
      <c r="A27" s="172" t="s">
        <v>198</v>
      </c>
      <c r="B27" s="173" t="s">
        <v>199</v>
      </c>
      <c r="C27" s="173" t="s">
        <v>39</v>
      </c>
      <c r="D27" s="174">
        <f>159851574500</f>
        <v>159851574500</v>
      </c>
      <c r="E27" s="175"/>
    </row>
    <row r="28" spans="1:5" ht="14.25">
      <c r="A28" s="172" t="s">
        <v>200</v>
      </c>
      <c r="B28" s="173" t="s">
        <v>201</v>
      </c>
      <c r="C28" s="173"/>
      <c r="D28" s="174"/>
      <c r="E28" s="175"/>
    </row>
    <row r="29" spans="1:5" ht="14.25">
      <c r="A29" s="172" t="s">
        <v>202</v>
      </c>
      <c r="B29" s="173" t="s">
        <v>203</v>
      </c>
      <c r="C29" s="173"/>
      <c r="D29" s="174"/>
      <c r="E29" s="175"/>
    </row>
    <row r="30" spans="1:5" ht="14.25">
      <c r="A30" s="182" t="s">
        <v>204</v>
      </c>
      <c r="B30" s="173" t="s">
        <v>49</v>
      </c>
      <c r="C30" s="173"/>
      <c r="D30" s="174"/>
      <c r="E30" s="175"/>
    </row>
    <row r="31" spans="1:5" ht="14.25">
      <c r="A31" s="172" t="s">
        <v>205</v>
      </c>
      <c r="B31" s="173" t="s">
        <v>206</v>
      </c>
      <c r="C31" s="173" t="s">
        <v>39</v>
      </c>
      <c r="D31" s="174">
        <f>-SUM('[2]TK1121'!F111)</f>
        <v>-25023444164</v>
      </c>
      <c r="E31" s="175">
        <v>-29017800000</v>
      </c>
    </row>
    <row r="32" spans="1:5" ht="15.75">
      <c r="A32" s="177" t="s">
        <v>207</v>
      </c>
      <c r="B32" s="178" t="s">
        <v>208</v>
      </c>
      <c r="C32" s="179"/>
      <c r="D32" s="183">
        <f>SUM(D27:D31)</f>
        <v>134828130336</v>
      </c>
      <c r="E32" s="183">
        <v>-29017800000</v>
      </c>
    </row>
    <row r="33" spans="1:5" ht="15">
      <c r="A33" s="184" t="s">
        <v>209</v>
      </c>
      <c r="B33" s="185" t="s">
        <v>210</v>
      </c>
      <c r="C33" s="173"/>
      <c r="D33" s="174">
        <f>D32+D25+D16</f>
        <v>5631390603</v>
      </c>
      <c r="E33" s="175">
        <v>-24102968958</v>
      </c>
    </row>
    <row r="34" spans="1:5" ht="15.75">
      <c r="A34" s="186" t="s">
        <v>211</v>
      </c>
      <c r="B34" s="178" t="s">
        <v>88</v>
      </c>
      <c r="C34" s="178"/>
      <c r="D34" s="180">
        <f>'[2]Bang CDKT theo chuan muc'!D10</f>
        <v>93245227445</v>
      </c>
      <c r="E34" s="180">
        <v>55900225791</v>
      </c>
    </row>
    <row r="35" spans="1:5" ht="14.25">
      <c r="A35" s="172" t="s">
        <v>212</v>
      </c>
      <c r="B35" s="173" t="s">
        <v>213</v>
      </c>
      <c r="C35" s="173"/>
      <c r="D35" s="174">
        <f>'[2]TK1122'!D52</f>
        <v>399160922</v>
      </c>
      <c r="E35" s="175">
        <v>346970612</v>
      </c>
    </row>
    <row r="36" spans="1:6" ht="15.75">
      <c r="A36" s="187" t="s">
        <v>214</v>
      </c>
      <c r="B36" s="188" t="s">
        <v>215</v>
      </c>
      <c r="C36" s="188" t="s">
        <v>216</v>
      </c>
      <c r="D36" s="189">
        <f>SUM(D33:D35)</f>
        <v>99275778970</v>
      </c>
      <c r="E36" s="189">
        <v>32144227445</v>
      </c>
      <c r="F36" s="190"/>
    </row>
    <row r="37" spans="1:4" ht="15">
      <c r="A37" s="1"/>
      <c r="B37" s="1"/>
      <c r="C37" s="1"/>
      <c r="D37" s="158"/>
    </row>
    <row r="38" spans="1:5" s="56" customFormat="1" ht="15.75">
      <c r="A38" s="191"/>
      <c r="B38" s="55" t="s">
        <v>217</v>
      </c>
      <c r="C38" s="55"/>
      <c r="D38" s="192"/>
      <c r="E38" s="58"/>
    </row>
    <row r="39" spans="1:5" s="196" customFormat="1" ht="21.75" customHeight="1">
      <c r="A39" s="193" t="s">
        <v>218</v>
      </c>
      <c r="B39" s="59"/>
      <c r="C39" s="59"/>
      <c r="D39" s="194" t="s">
        <v>94</v>
      </c>
      <c r="E39" s="195"/>
    </row>
    <row r="40" spans="1:4" ht="16.5" customHeight="1">
      <c r="A40" s="62"/>
      <c r="B40" s="62"/>
      <c r="C40" s="62"/>
      <c r="D40" s="197" t="s">
        <v>100</v>
      </c>
    </row>
    <row r="41" spans="1:4" ht="16.5" customHeight="1" hidden="1">
      <c r="A41" s="62"/>
      <c r="B41" s="62"/>
      <c r="C41" s="62"/>
      <c r="D41" s="197"/>
    </row>
    <row r="42" spans="1:4" ht="15">
      <c r="A42" s="62"/>
      <c r="B42" s="62"/>
      <c r="C42" s="62"/>
      <c r="D42" s="197" t="s">
        <v>100</v>
      </c>
    </row>
    <row r="43" spans="1:4" ht="15">
      <c r="A43" s="62"/>
      <c r="B43" s="62"/>
      <c r="C43" s="62"/>
      <c r="D43" s="197" t="s">
        <v>100</v>
      </c>
    </row>
    <row r="44" spans="1:4" ht="15">
      <c r="A44" s="62"/>
      <c r="B44" s="62"/>
      <c r="C44" s="62"/>
      <c r="D44" s="197"/>
    </row>
    <row r="45" spans="1:4" ht="15.75">
      <c r="A45" s="69" t="s">
        <v>100</v>
      </c>
      <c r="B45" s="56"/>
      <c r="C45" s="56"/>
      <c r="D45" s="198" t="s">
        <v>100</v>
      </c>
    </row>
    <row r="46" spans="1:4" ht="15.75">
      <c r="A46" s="69" t="s">
        <v>219</v>
      </c>
      <c r="B46" s="56"/>
      <c r="C46" s="56"/>
      <c r="D46" s="198" t="s">
        <v>220</v>
      </c>
    </row>
    <row r="48" ht="21.75" customHeight="1"/>
  </sheetData>
  <mergeCells count="3"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2008-01-30T11:43:07Z</dcterms:created>
  <dcterms:modified xsi:type="dcterms:W3CDTF">2008-01-30T11:45:47Z</dcterms:modified>
  <cp:category/>
  <cp:version/>
  <cp:contentType/>
  <cp:contentStatus/>
</cp:coreProperties>
</file>